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955" activeTab="2"/>
  </bookViews>
  <sheets>
    <sheet name="12F6XX" sheetId="1" r:id="rId1"/>
    <sheet name="16F84" sheetId="2" r:id="rId2"/>
    <sheet name="16F628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alain</author>
  </authors>
  <commentList>
    <comment ref="G34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Résistance de rappel 5V sur les entrées</t>
        </r>
      </text>
    </comment>
    <comment ref="G36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Clock externe :transition sur GP2</t>
        </r>
      </text>
    </comment>
    <comment ref="G37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Choix du front de détection</t>
        </r>
      </text>
    </comment>
    <comment ref="G38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Les valeurs  PS01,PS1,PS2 générent 
une valeur qui dépend  
du type de prédivideur PSA
</t>
        </r>
      </text>
    </comment>
    <comment ref="F63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1= pull-up </t>
        </r>
      </text>
    </comment>
    <comment ref="F64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1= pull-up </t>
        </r>
      </text>
    </comment>
    <comment ref="F66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1= pull-up </t>
        </r>
      </text>
    </comment>
    <comment ref="F67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1= pull-up </t>
        </r>
      </text>
    </comment>
    <comment ref="F68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1= pull-up </t>
        </r>
      </text>
    </comment>
    <comment ref="G85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 Ce bit sera mis à 1 en temps utile</t>
        </r>
      </text>
    </comment>
    <comment ref="G89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  autoriser les GP concernés(GP0 à GP5)
VOIR INTCAN</t>
        </r>
      </text>
    </comment>
    <comment ref="G90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flag de débordement (doit etre remis à 0)</t>
        </r>
      </text>
    </comment>
    <comment ref="G91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Flag d'interruption de GP2
Doit etre remis à 0</t>
        </r>
      </text>
    </comment>
    <comment ref="G92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Flag =1 si l'un des port (GP0 à GP5 à changé d'état</t>
        </r>
      </text>
    </comment>
    <comment ref="M130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GP1 connecté à VIN-
GP0 connecté à VIN+
GP2 pas  connecté 
COUT=0</t>
        </r>
      </text>
    </comment>
    <comment ref="G131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 bit =1   si 
 CINV=0 et Vin+ &gt; Vin-
  ou
   CINV=1 et Vin- &gt; Vin+
Peut etre connecté à </t>
        </r>
        <r>
          <rPr>
            <b/>
            <sz val="8"/>
            <rFont val="Tahoma"/>
            <family val="2"/>
          </rPr>
          <t>GP2</t>
        </r>
      </text>
    </comment>
    <comment ref="M131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GP1 GP0,Vin- ,Vin+ connecté à la masse
GP2 pas  connecté </t>
        </r>
      </text>
    </comment>
    <comment ref="M132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GP1 connecté à VIN-
GP0 connecté à VIN+
GP2</t>
        </r>
        <r>
          <rPr>
            <b/>
            <sz val="8"/>
            <rFont val="Tahoma"/>
            <family val="2"/>
          </rPr>
          <t xml:space="preserve"> pas</t>
        </r>
        <r>
          <rPr>
            <sz val="8"/>
            <rFont val="Tahoma"/>
            <family val="0"/>
          </rPr>
          <t xml:space="preserve">  connecté </t>
        </r>
      </text>
    </comment>
    <comment ref="M133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GP1 connecté à VIN-
GP0 connecté à VIN+
GP2   connecté à COUT
</t>
        </r>
      </text>
    </comment>
    <comment ref="G134" authorId="0">
      <text>
        <r>
          <rPr>
            <b/>
            <sz val="8"/>
            <rFont val="Tahoma"/>
            <family val="0"/>
          </rPr>
          <t>alain:
Choix de connection de</t>
        </r>
        <r>
          <rPr>
            <sz val="8"/>
            <rFont val="Tahoma"/>
            <family val="0"/>
          </rPr>
          <t xml:space="preserve">  </t>
        </r>
        <r>
          <rPr>
            <b/>
            <sz val="8"/>
            <rFont val="Tahoma"/>
            <family val="2"/>
          </rPr>
          <t>VIN-</t>
        </r>
        <r>
          <rPr>
            <sz val="8"/>
            <rFont val="Tahoma"/>
            <family val="0"/>
          </rPr>
          <t xml:space="preserve">   à : </t>
        </r>
        <r>
          <rPr>
            <b/>
            <sz val="8"/>
            <rFont val="Tahoma"/>
            <family val="2"/>
          </rPr>
          <t xml:space="preserve">GP0 </t>
        </r>
        <r>
          <rPr>
            <sz val="8"/>
            <rFont val="Tahoma"/>
            <family val="0"/>
          </rPr>
          <t xml:space="preserve"> ou  à  </t>
        </r>
        <r>
          <rPr>
            <b/>
            <sz val="8"/>
            <rFont val="Tahoma"/>
            <family val="2"/>
          </rPr>
          <t xml:space="preserve">GP1 </t>
        </r>
      </text>
    </comment>
    <comment ref="M134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G P1 connecté à Vin-
Vref connecté à Vin+
GP0 ,GP2  libre</t>
        </r>
      </text>
    </comment>
    <comment ref="M135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G P1 connecté à Vin-
Vref connecté à Vin+
GP2  connecté à COUT
GP0 libre</t>
        </r>
      </text>
    </comment>
    <comment ref="M136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G P1 ou GP0  connecté à Vin- (voir CIS)
Vref connecté à Vin+
GP2  pas connecté 
GP0 libre</t>
        </r>
      </text>
    </comment>
    <comment ref="M137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G P1 ou GP0  connecté à Vin- (voir CIS)
Vref connecté à Vin+
GP2  pas connecté 
GP0 connecté à COUT</t>
        </r>
      </text>
    </comment>
    <comment ref="G148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pour VDD=5V
Si b5=0   1,25&gt;tension&gt;2,34
Si b5=0 2,5&gt;tension&gt;3,5</t>
        </r>
      </text>
    </comment>
    <comment ref="G162" authorId="0">
      <text>
        <r>
          <rPr>
            <b/>
            <sz val="8"/>
            <rFont val="Tahoma"/>
            <family val="0"/>
          </rPr>
          <t>alain:
B0 doit etre b0=1</t>
        </r>
        <r>
          <rPr>
            <sz val="8"/>
            <rFont val="Tahoma"/>
            <family val="0"/>
          </rPr>
          <t xml:space="preserve">
1=Timer1 est activé si b2 esb niveau bas
0=Timer 1 est activé
</t>
        </r>
      </text>
    </comment>
    <comment ref="G165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Ignoré quand l'horloge interne est selectionnée
</t>
        </r>
      </text>
    </comment>
    <comment ref="G166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Ignoré quand l'horloge interne est selectionnée
</t>
        </r>
      </text>
    </comment>
    <comment ref="G183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si=1 cycle de conversion en cours
si=1 conversion terminé</t>
        </r>
      </text>
    </comment>
  </commentList>
</comments>
</file>

<file path=xl/comments2.xml><?xml version="1.0" encoding="utf-8"?>
<comments xmlns="http://schemas.openxmlformats.org/spreadsheetml/2006/main">
  <authors>
    <author>alain</author>
  </authors>
  <commentList>
    <comment ref="G36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Résistance de rappel 5V sur les entrées</t>
        </r>
      </text>
    </comment>
    <comment ref="G38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Clock externe :transition sur GP2</t>
        </r>
      </text>
    </comment>
    <comment ref="G39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Choix du front de détection</t>
        </r>
      </text>
    </comment>
    <comment ref="G40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Les valeurs  PS01,PS1,PS2 générent 
une valeur qui dépend  
du type de prédivideur PSA
</t>
        </r>
      </text>
    </comment>
    <comment ref="F65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1= pull-up </t>
        </r>
      </text>
    </comment>
    <comment ref="F66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1= pull-up </t>
        </r>
      </text>
    </comment>
    <comment ref="F68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1= pull-up </t>
        </r>
      </text>
    </comment>
    <comment ref="F69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1= pull-up </t>
        </r>
      </text>
    </comment>
    <comment ref="F70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1= pull-up </t>
        </r>
      </text>
    </comment>
    <comment ref="G87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 Ce bit sera mis à 1 en temps utile</t>
        </r>
      </text>
    </comment>
    <comment ref="G91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  autoriser les GP concernés(GP0 à GP5)
VOIR INTCAN</t>
        </r>
      </text>
    </comment>
    <comment ref="G92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flag de débordement (doit etre remis à 0)</t>
        </r>
      </text>
    </comment>
    <comment ref="G93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Flag d'interruption de GP2
Doit etre remis à 0</t>
        </r>
      </text>
    </comment>
    <comment ref="G94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Flag =1 si l'un des port (GP0 à GP5 à changé d'état</t>
        </r>
      </text>
    </comment>
    <comment ref="M132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GP1 connecté à VIN-
GP0 connecté à VIN+
GP2 pas  connecté 
COUT=0</t>
        </r>
      </text>
    </comment>
    <comment ref="G133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 bit =1   si 
 CINV=0 et Vin+ &gt; Vin-
  ou
   CINV=1 et Vin- &gt; Vin+
Peut etre connecté à </t>
        </r>
        <r>
          <rPr>
            <b/>
            <sz val="8"/>
            <rFont val="Tahoma"/>
            <family val="2"/>
          </rPr>
          <t>GP2</t>
        </r>
      </text>
    </comment>
    <comment ref="M133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GP1 GP0,Vin- ,Vin+ connecté à la masse
GP2 pas  connecté </t>
        </r>
      </text>
    </comment>
    <comment ref="M134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GP1 connecté à VIN-
GP0 connecté à VIN+
GP2</t>
        </r>
        <r>
          <rPr>
            <b/>
            <sz val="8"/>
            <rFont val="Tahoma"/>
            <family val="2"/>
          </rPr>
          <t xml:space="preserve"> pas</t>
        </r>
        <r>
          <rPr>
            <sz val="8"/>
            <rFont val="Tahoma"/>
            <family val="0"/>
          </rPr>
          <t xml:space="preserve">  connecté </t>
        </r>
      </text>
    </comment>
    <comment ref="M135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GP1 connecté à VIN-
GP0 connecté à VIN+
GP2   connecté à COUT
</t>
        </r>
      </text>
    </comment>
    <comment ref="G136" authorId="0">
      <text>
        <r>
          <rPr>
            <b/>
            <sz val="8"/>
            <rFont val="Tahoma"/>
            <family val="0"/>
          </rPr>
          <t>alain:
Choix de connection de</t>
        </r>
        <r>
          <rPr>
            <sz val="8"/>
            <rFont val="Tahoma"/>
            <family val="0"/>
          </rPr>
          <t xml:space="preserve">  </t>
        </r>
        <r>
          <rPr>
            <b/>
            <sz val="8"/>
            <rFont val="Tahoma"/>
            <family val="2"/>
          </rPr>
          <t>VIN-</t>
        </r>
        <r>
          <rPr>
            <sz val="8"/>
            <rFont val="Tahoma"/>
            <family val="0"/>
          </rPr>
          <t xml:space="preserve">   à : </t>
        </r>
        <r>
          <rPr>
            <b/>
            <sz val="8"/>
            <rFont val="Tahoma"/>
            <family val="2"/>
          </rPr>
          <t xml:space="preserve">GP0 </t>
        </r>
        <r>
          <rPr>
            <sz val="8"/>
            <rFont val="Tahoma"/>
            <family val="0"/>
          </rPr>
          <t xml:space="preserve"> ou  à  </t>
        </r>
        <r>
          <rPr>
            <b/>
            <sz val="8"/>
            <rFont val="Tahoma"/>
            <family val="2"/>
          </rPr>
          <t xml:space="preserve">GP1 </t>
        </r>
      </text>
    </comment>
    <comment ref="M136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G P1 connecté à Vin-
Vref connecté à Vin+
GP0 ,GP2  libre</t>
        </r>
      </text>
    </comment>
    <comment ref="M137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G P1 connecté à Vin-
Vref connecté à Vin+
GP2  connecté à COUT
GP0 libre</t>
        </r>
      </text>
    </comment>
    <comment ref="M138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G P1 ou GP0  connecté à Vin- (voir CIS)
Vref connecté à Vin+
GP2  pas connecté 
GP0 libre</t>
        </r>
      </text>
    </comment>
    <comment ref="M139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G P1 ou GP0  connecté à Vin- (voir CIS)
Vref connecté à Vin+
GP2  pas connecté 
GP0 connecté à COUT</t>
        </r>
      </text>
    </comment>
    <comment ref="G150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pour VDD=5V
Si b5=0   1,25&gt;tension&gt;2,34
Si b5=0 2,5&gt;tension&gt;3,5</t>
        </r>
      </text>
    </comment>
    <comment ref="G164" authorId="0">
      <text>
        <r>
          <rPr>
            <b/>
            <sz val="8"/>
            <rFont val="Tahoma"/>
            <family val="0"/>
          </rPr>
          <t>alain:
B0 doit etre b0=1</t>
        </r>
        <r>
          <rPr>
            <sz val="8"/>
            <rFont val="Tahoma"/>
            <family val="0"/>
          </rPr>
          <t xml:space="preserve">
1=Timer1 est activé si b2 esb niveau bas
0=Timer 1 est activé
</t>
        </r>
      </text>
    </comment>
    <comment ref="G167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Ignoré quand l'horloge interne est selectionnée
</t>
        </r>
      </text>
    </comment>
    <comment ref="G168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Ignoré quand l'horloge interne est selectionnée
</t>
        </r>
      </text>
    </comment>
    <comment ref="G185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si=1 cycle de conversion en cours
si=1 conversion terminé</t>
        </r>
      </text>
    </comment>
    <comment ref="D291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Résistance de rappel 5V sur les entrées</t>
        </r>
      </text>
    </comment>
    <comment ref="D293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Clock externe :transition sur GP2</t>
        </r>
      </text>
    </comment>
    <comment ref="D294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Choix du front de détection</t>
        </r>
      </text>
    </comment>
    <comment ref="D295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Les valeurs  PS01,PS1,PS2 générent 
une valeur qui dépend  
du type de prédivideur PSA
</t>
        </r>
      </text>
    </comment>
  </commentList>
</comments>
</file>

<file path=xl/comments3.xml><?xml version="1.0" encoding="utf-8"?>
<comments xmlns="http://schemas.openxmlformats.org/spreadsheetml/2006/main">
  <authors>
    <author>alain</author>
  </authors>
  <commentList>
    <comment ref="D49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Résistance de rappel 5V sur les entrées</t>
        </r>
      </text>
    </comment>
    <comment ref="D51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Clock externe :transition sur GP2</t>
        </r>
      </text>
    </comment>
    <comment ref="D52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Choix du front de détection</t>
        </r>
      </text>
    </comment>
    <comment ref="D53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Les valeurs  PS01,PS1,PS2 générent 
une valeur qui dépend  
du type de prédivideur PSA
</t>
        </r>
      </text>
    </comment>
  </commentList>
</comments>
</file>

<file path=xl/sharedStrings.xml><?xml version="1.0" encoding="utf-8"?>
<sst xmlns="http://schemas.openxmlformats.org/spreadsheetml/2006/main" count="1114" uniqueCount="437">
  <si>
    <t>PIC 12F629 /PIC 12F675</t>
  </si>
  <si>
    <t>Configuration</t>
  </si>
  <si>
    <t xml:space="preserve">Ne remplir que la colonne </t>
  </si>
  <si>
    <t xml:space="preserve">Protection du programme </t>
  </si>
  <si>
    <t>Protection de la EEprom</t>
  </si>
  <si>
    <t>Reset du PIC si tension &lt; 4V</t>
  </si>
  <si>
    <t>Utilisation de MCLR</t>
  </si>
  <si>
    <t>Retard à la mise sous tension</t>
  </si>
  <si>
    <t>Watchdog</t>
  </si>
  <si>
    <t>Oscillateur (8 choix)</t>
  </si>
  <si>
    <t>_INTRC_OSC_NOCLKOUT</t>
  </si>
  <si>
    <t>Oscillation interne I/O sur GP4 et GP5 (4MHz)</t>
  </si>
  <si>
    <t>_INTRC_OSC_CLKOUT</t>
  </si>
  <si>
    <t>Oscillation interne clkout sur GP4 I/O sur GP5 (4Mhz)</t>
  </si>
  <si>
    <t>_EXTRC_OSC_CLKOUT</t>
  </si>
  <si>
    <t>signal clock fournit sur GP5 par pont RC I/O sur GP4</t>
  </si>
  <si>
    <t>_EXTRC_OSC_NOCLKOUT</t>
  </si>
  <si>
    <t>signal clock fournit sur GP5 par pont RC clckout sur GP4</t>
  </si>
  <si>
    <t>_EC_OSC</t>
  </si>
  <si>
    <t>signal clock fournit sur GP5 I/O sur GP4</t>
  </si>
  <si>
    <t>_LC_OSC</t>
  </si>
  <si>
    <t>oscillateur basse vitesse (?&lt;F&lt;200Khz)</t>
  </si>
  <si>
    <t>_XT_OSC</t>
  </si>
  <si>
    <t>oscillateur moyenne vitesse (0,1Mhz&lt;F&lt;4Mhz)</t>
  </si>
  <si>
    <t>_HS_OSC</t>
  </si>
  <si>
    <t>oscillateur haute vitesse (1Mhz&lt;F&lt;20Mhz)</t>
  </si>
  <si>
    <t>Configuration:</t>
  </si>
  <si>
    <t>Configuration des registres :</t>
  </si>
  <si>
    <t>81H</t>
  </si>
  <si>
    <t>Configuration du registre OPTION_REG (configuration)</t>
  </si>
  <si>
    <t xml:space="preserve">Le timer0(8bits) génère 1 interruption </t>
  </si>
  <si>
    <t xml:space="preserve">b7 </t>
  </si>
  <si>
    <t>(/GPPU)</t>
  </si>
  <si>
    <t>toutes les</t>
  </si>
  <si>
    <t>b6</t>
  </si>
  <si>
    <t>(INTEGD)</t>
  </si>
  <si>
    <t>seconde</t>
  </si>
  <si>
    <t>b5</t>
  </si>
  <si>
    <t>(TOCS)</t>
  </si>
  <si>
    <t xml:space="preserve">le prédiviseur ajuste cette valeur </t>
  </si>
  <si>
    <t>b4</t>
  </si>
  <si>
    <t>(TOSE)</t>
  </si>
  <si>
    <t>b5 doit etre à 1</t>
  </si>
  <si>
    <t xml:space="preserve">             à </t>
  </si>
  <si>
    <t>b3</t>
  </si>
  <si>
    <t>(PSA)</t>
  </si>
  <si>
    <t>b2</t>
  </si>
  <si>
    <t>(PS2)</t>
  </si>
  <si>
    <t xml:space="preserve">     Prédivision</t>
  </si>
  <si>
    <t>b1</t>
  </si>
  <si>
    <t>(PS1)</t>
  </si>
  <si>
    <t>Calcul automatique</t>
  </si>
  <si>
    <t>soit</t>
  </si>
  <si>
    <t>b0</t>
  </si>
  <si>
    <t>(PS0)</t>
  </si>
  <si>
    <t>OPTIONVAL    EQU</t>
  </si>
  <si>
    <t>OPTION_REG =</t>
  </si>
  <si>
    <t xml:space="preserve">Configuration des entrées </t>
  </si>
  <si>
    <t>85H</t>
  </si>
  <si>
    <t>Configuration du registre TRISIO (configuration choisie)</t>
  </si>
  <si>
    <t>b7</t>
  </si>
  <si>
    <t>N.U.</t>
  </si>
  <si>
    <t>PIN 2</t>
  </si>
  <si>
    <t>(WPU5)</t>
  </si>
  <si>
    <t>PIN 3</t>
  </si>
  <si>
    <t>(WPU4)</t>
  </si>
  <si>
    <t>PIN 4</t>
  </si>
  <si>
    <t>=1  GP3 toujours en entree</t>
  </si>
  <si>
    <t>PIN 5</t>
  </si>
  <si>
    <t>(WPU2)</t>
  </si>
  <si>
    <t>PIN 6</t>
  </si>
  <si>
    <t>(WPU1)</t>
  </si>
  <si>
    <t>PIN 7</t>
  </si>
  <si>
    <t>(WPU0)</t>
  </si>
  <si>
    <t>TRISIOVAL      EQU</t>
  </si>
  <si>
    <t>TRISIO=</t>
  </si>
  <si>
    <t>95H</t>
  </si>
  <si>
    <t>Configuration du registre WPU</t>
  </si>
  <si>
    <t xml:space="preserve"> GPPU dans option_registre doit etre configuré</t>
  </si>
  <si>
    <t>WPUVAL         EQU</t>
  </si>
  <si>
    <t>WPU=</t>
  </si>
  <si>
    <t xml:space="preserve">Type d'oscillation </t>
  </si>
  <si>
    <t>90H</t>
  </si>
  <si>
    <t>Nominal</t>
  </si>
  <si>
    <t>mini</t>
  </si>
  <si>
    <t>Maxi</t>
  </si>
  <si>
    <t>OSCCALVAL   EQU</t>
  </si>
  <si>
    <t>OSCCAL=</t>
  </si>
  <si>
    <t>Interruptions</t>
  </si>
  <si>
    <t>0BH    8BH</t>
  </si>
  <si>
    <t>Configuration du registre INTCON (contrôle des interruptions standard)</t>
  </si>
  <si>
    <t>(GIE)</t>
  </si>
  <si>
    <t>(EPEI)</t>
  </si>
  <si>
    <t>(TOIE)</t>
  </si>
  <si>
    <t>(INTE)</t>
  </si>
  <si>
    <t>(GPIE)</t>
  </si>
  <si>
    <t>(T0IF)</t>
  </si>
  <si>
    <t>Flag TMR0</t>
  </si>
  <si>
    <t>Doit etre initialisé dans le programmme</t>
  </si>
  <si>
    <t>(INTF)</t>
  </si>
  <si>
    <t>Flag GP2/Int</t>
  </si>
  <si>
    <t>(GPIF)</t>
  </si>
  <si>
    <t>Flag interruption GPIO</t>
  </si>
  <si>
    <t>INTCONVAL     EQU</t>
  </si>
  <si>
    <t>INTCON=</t>
  </si>
  <si>
    <t>96H</t>
  </si>
  <si>
    <t>Configuration du registre IOC (contrôle des interruptions individuelles)</t>
  </si>
  <si>
    <t>IOC5</t>
  </si>
  <si>
    <t>IOC4</t>
  </si>
  <si>
    <t>IOC3</t>
  </si>
  <si>
    <t>IOC2</t>
  </si>
  <si>
    <t>IOC1</t>
  </si>
  <si>
    <t>IOC0</t>
  </si>
  <si>
    <t>IOCVAL           EQU</t>
  </si>
  <si>
    <t>IOC=</t>
  </si>
  <si>
    <t>8CH</t>
  </si>
  <si>
    <t>Configuration du registre PIE1(contrôle des interruptions périphérique)</t>
  </si>
  <si>
    <t>EEIE</t>
  </si>
  <si>
    <t>ADIE</t>
  </si>
  <si>
    <t>CMIE</t>
  </si>
  <si>
    <t>TMR1IE</t>
  </si>
  <si>
    <t>PIE1VAL          EQU</t>
  </si>
  <si>
    <t>PIE1=</t>
  </si>
  <si>
    <t>Comparateur</t>
  </si>
  <si>
    <t>19H</t>
  </si>
  <si>
    <t>Configuration du registre  CMCON (Comparateur analogique)</t>
  </si>
  <si>
    <r>
      <t>(</t>
    </r>
    <r>
      <rPr>
        <b/>
        <sz val="10"/>
        <rFont val="Arial"/>
        <family val="2"/>
      </rPr>
      <t>GP0  GP1 GP2</t>
    </r>
    <r>
      <rPr>
        <sz val="10"/>
        <rFont val="Arial"/>
        <family val="0"/>
      </rPr>
      <t>)</t>
    </r>
  </si>
  <si>
    <t>Toujours à 0</t>
  </si>
  <si>
    <t>reset de comparateur</t>
  </si>
  <si>
    <t>COUT</t>
  </si>
  <si>
    <t xml:space="preserve">Bit flag etat du comparateur </t>
  </si>
  <si>
    <t xml:space="preserve">pas de comparaison </t>
  </si>
  <si>
    <r>
      <t xml:space="preserve">Comp. entre GP1 et GP0  </t>
    </r>
    <r>
      <rPr>
        <b/>
        <sz val="10"/>
        <rFont val="Arial"/>
        <family val="2"/>
      </rPr>
      <t>sans</t>
    </r>
    <r>
      <rPr>
        <sz val="10"/>
        <rFont val="Arial"/>
        <family val="0"/>
      </rPr>
      <t xml:space="preserve"> connection externe deCOUT sur  GP2</t>
    </r>
  </si>
  <si>
    <t>CINV</t>
  </si>
  <si>
    <r>
      <t xml:space="preserve">Comp. entre GP1 et GO0  </t>
    </r>
    <r>
      <rPr>
        <b/>
        <sz val="10"/>
        <rFont val="Arial"/>
        <family val="2"/>
      </rPr>
      <t>avec</t>
    </r>
    <r>
      <rPr>
        <sz val="10"/>
        <rFont val="Arial"/>
        <family val="0"/>
      </rPr>
      <t xml:space="preserve"> connection externe de COUT sur  GP2</t>
    </r>
  </si>
  <si>
    <t>CIS</t>
  </si>
  <si>
    <r>
      <t xml:space="preserve">Comp. entre GP1 et </t>
    </r>
    <r>
      <rPr>
        <b/>
        <sz val="10"/>
        <rFont val="Arial"/>
        <family val="2"/>
      </rPr>
      <t>Vref interne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avec</t>
    </r>
    <r>
      <rPr>
        <sz val="10"/>
        <rFont val="Arial"/>
        <family val="0"/>
      </rPr>
      <t xml:space="preserve"> connection de COUT</t>
    </r>
  </si>
  <si>
    <t>CM2</t>
  </si>
  <si>
    <r>
      <t xml:space="preserve">Comp. entre GP1 et </t>
    </r>
    <r>
      <rPr>
        <b/>
        <sz val="10"/>
        <rFont val="Arial"/>
        <family val="2"/>
      </rPr>
      <t>Vref interne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sans</t>
    </r>
    <r>
      <rPr>
        <sz val="10"/>
        <rFont val="Arial"/>
        <family val="0"/>
      </rPr>
      <t xml:space="preserve"> connection de COUT</t>
    </r>
  </si>
  <si>
    <t>CM1</t>
  </si>
  <si>
    <r>
      <t xml:space="preserve">Comp. entre  (GP1 ou  GP0) et </t>
    </r>
    <r>
      <rPr>
        <b/>
        <sz val="10"/>
        <rFont val="Arial"/>
        <family val="2"/>
      </rPr>
      <t>Vref interne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sans</t>
    </r>
    <r>
      <rPr>
        <sz val="10"/>
        <rFont val="Arial"/>
        <family val="0"/>
      </rPr>
      <t xml:space="preserve"> connection de COUT</t>
    </r>
  </si>
  <si>
    <t>CM0</t>
  </si>
  <si>
    <r>
      <t xml:space="preserve">Comp. entre  (GP1 ou  GP0) et </t>
    </r>
    <r>
      <rPr>
        <b/>
        <sz val="10"/>
        <rFont val="Arial"/>
        <family val="2"/>
      </rPr>
      <t>Vref interne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avec </t>
    </r>
    <r>
      <rPr>
        <sz val="10"/>
        <rFont val="Arial"/>
        <family val="0"/>
      </rPr>
      <t xml:space="preserve"> connection de COUT</t>
    </r>
  </si>
  <si>
    <t>CMCONVAL    EQU</t>
  </si>
  <si>
    <t>CMCON</t>
  </si>
  <si>
    <t>99H</t>
  </si>
  <si>
    <t>Configuration du registre  VRCON (Comparateur analogique)</t>
  </si>
  <si>
    <t>vref=VDD/4+(VDD* (b3_b0) /32)</t>
  </si>
  <si>
    <t>VDD=</t>
  </si>
  <si>
    <t>V</t>
  </si>
  <si>
    <t>VREN</t>
  </si>
  <si>
    <t>VRR</t>
  </si>
  <si>
    <t xml:space="preserve">          ( + VDD/4 si 0)</t>
  </si>
  <si>
    <t xml:space="preserve">Tension de réf. </t>
  </si>
  <si>
    <t>VRCONVAL    EQU</t>
  </si>
  <si>
    <t>VRCON=</t>
  </si>
  <si>
    <t>Timer1</t>
  </si>
  <si>
    <t>10H</t>
  </si>
  <si>
    <t>Configuration du registreT1CON (contrôle du Timer1)</t>
  </si>
  <si>
    <t>TMR1GE</t>
  </si>
  <si>
    <t>Ignoré si TMR1ON=0</t>
  </si>
  <si>
    <t xml:space="preserve">Le timer0(16bits) génère 1 interruption </t>
  </si>
  <si>
    <t>T1CKPS1</t>
  </si>
  <si>
    <t>Ratio calculé =</t>
  </si>
  <si>
    <t xml:space="preserve">        toutes les</t>
  </si>
  <si>
    <t>T1CKPS0</t>
  </si>
  <si>
    <t>T1OSCEN</t>
  </si>
  <si>
    <t>T1SYNC</t>
  </si>
  <si>
    <t xml:space="preserve">Contrôle externe </t>
  </si>
  <si>
    <t>TMR1CS</t>
  </si>
  <si>
    <t>TMR1ON</t>
  </si>
  <si>
    <t>T1CONAL        EQU</t>
  </si>
  <si>
    <t>T1CON=</t>
  </si>
  <si>
    <t>Convertisseur (12F675)</t>
  </si>
  <si>
    <t>1FH</t>
  </si>
  <si>
    <t>Configuration du registre ADCON0    A/D</t>
  </si>
  <si>
    <t>ADFM</t>
  </si>
  <si>
    <t>VCFG</t>
  </si>
  <si>
    <t>CHS1</t>
  </si>
  <si>
    <t>CHS0</t>
  </si>
  <si>
    <t>GO/DONE</t>
  </si>
  <si>
    <t xml:space="preserve">etat du convertisseur </t>
  </si>
  <si>
    <t>ADON</t>
  </si>
  <si>
    <t>(Lance la conversion )</t>
  </si>
  <si>
    <t>ADCON0        EQU</t>
  </si>
  <si>
    <t>ADCON0=</t>
  </si>
  <si>
    <t>Configuration du registre ANSEL  (Selection de registre analogique )</t>
  </si>
  <si>
    <t>ADCS2</t>
  </si>
  <si>
    <t>('4,16 ou 32)</t>
  </si>
  <si>
    <t>ADCS1</t>
  </si>
  <si>
    <t>(32,Frc ou 64)</t>
  </si>
  <si>
    <t>ADCS0</t>
  </si>
  <si>
    <t>(4,16, ou 64)</t>
  </si>
  <si>
    <t>ANS3 (GP4)</t>
  </si>
  <si>
    <t>ANS2 (GP2)</t>
  </si>
  <si>
    <t>ANS1 (GP1)</t>
  </si>
  <si>
    <t>ANS0 (GP0)</t>
  </si>
  <si>
    <t>ANSEL         EQU</t>
  </si>
  <si>
    <t>ANSEL=</t>
  </si>
  <si>
    <t>0CH</t>
  </si>
  <si>
    <t xml:space="preserve"> registre PIR1   ( état des interruptions  ) doit etre initialisé par le programme </t>
  </si>
  <si>
    <t>EEIF</t>
  </si>
  <si>
    <t>ADIF</t>
  </si>
  <si>
    <t>CMIF</t>
  </si>
  <si>
    <t>TMR1IF</t>
  </si>
  <si>
    <t>PIR1        EQU</t>
  </si>
  <si>
    <t>PIR1=</t>
  </si>
  <si>
    <t xml:space="preserve">Copier les infos si dessous dans le fichier texte </t>
  </si>
  <si>
    <t>LIST P=12F629</t>
  </si>
  <si>
    <t>#INCLUDE &lt;P12F629.inc&gt;</t>
  </si>
  <si>
    <t xml:space="preserve">complément à ajouter en basic </t>
  </si>
  <si>
    <t xml:space="preserve">Copier les infos si dessous dans le fichier  basic </t>
  </si>
  <si>
    <t>Ne remplir que la colonne (cela mettra à jour la configuration )</t>
  </si>
  <si>
    <r>
      <t>Frequence (</t>
    </r>
    <r>
      <rPr>
        <b/>
        <sz val="10"/>
        <rFont val="Arial"/>
        <family val="2"/>
      </rPr>
      <t>1,2 ou 3</t>
    </r>
    <r>
      <rPr>
        <sz val="10"/>
        <rFont val="Arial"/>
        <family val="0"/>
      </rPr>
      <t>)</t>
    </r>
  </si>
  <si>
    <t>mise à jour automatique</t>
  </si>
  <si>
    <t xml:space="preserve">configuration pour l' assembleur </t>
  </si>
  <si>
    <t>version 7/7/2004</t>
  </si>
  <si>
    <t xml:space="preserve">16F84 </t>
  </si>
  <si>
    <r>
      <t xml:space="preserve">Détermination de la configuration en </t>
    </r>
    <r>
      <rPr>
        <sz val="12"/>
        <color indexed="10"/>
        <rFont val="Arial"/>
        <family val="2"/>
      </rPr>
      <t>2 opérations</t>
    </r>
  </si>
  <si>
    <t>Opération 1</t>
  </si>
  <si>
    <t xml:space="preserve"> remplir la colonne </t>
  </si>
  <si>
    <t>Registre CONFIG</t>
  </si>
  <si>
    <t>Bit concernés</t>
  </si>
  <si>
    <t>b13 à b4</t>
  </si>
  <si>
    <t>Oscillateur (4 choix)</t>
  </si>
  <si>
    <t>Type oscillation</t>
  </si>
  <si>
    <t>b1 et b0</t>
  </si>
  <si>
    <t>Les bits non concernés sont mis à 1 (utile pour le AND)</t>
  </si>
  <si>
    <t>_LP_OSC</t>
  </si>
  <si>
    <t>3FFC</t>
  </si>
  <si>
    <t>Opération 2 (cliquer ici)</t>
  </si>
  <si>
    <t>3FFD</t>
  </si>
  <si>
    <t>3FFE</t>
  </si>
  <si>
    <t>3/ affichage de la configuration</t>
  </si>
  <si>
    <t>_RC_OSC</t>
  </si>
  <si>
    <t>3FFF</t>
  </si>
  <si>
    <t>b1 b0: type</t>
  </si>
  <si>
    <t>00:LP</t>
  </si>
  <si>
    <t xml:space="preserve">Pour connaître la configuration </t>
  </si>
  <si>
    <t>11: RC</t>
  </si>
  <si>
    <t>à partir d'une valeur connue</t>
  </si>
  <si>
    <t>CP CODE DE PROTECTION/ 1=OFF 0=ON (BIT 13 à 4)</t>
  </si>
  <si>
    <t>PWRTE</t>
  </si>
  <si>
    <t>WDTE</t>
  </si>
  <si>
    <t>10: HS</t>
  </si>
  <si>
    <t>afficher votre valeur si dessous</t>
  </si>
  <si>
    <t xml:space="preserve">0 activé  </t>
  </si>
  <si>
    <t>1 activé</t>
  </si>
  <si>
    <t>11: XT</t>
  </si>
  <si>
    <t>CP</t>
  </si>
  <si>
    <t>1 desactivé</t>
  </si>
  <si>
    <t>0 désactivé</t>
  </si>
  <si>
    <t>11: LP</t>
  </si>
  <si>
    <t>b13</t>
  </si>
  <si>
    <t>b12</t>
  </si>
  <si>
    <t>b11</t>
  </si>
  <si>
    <t>b10</t>
  </si>
  <si>
    <t>b9</t>
  </si>
  <si>
    <t>b8</t>
  </si>
  <si>
    <t>3FF9</t>
  </si>
  <si>
    <t>Frequence (1,2,3)</t>
  </si>
  <si>
    <t xml:space="preserve">configuration en assembleur </t>
  </si>
  <si>
    <t xml:space="preserve">Copier les infos ci dessous dans le fichier asm </t>
  </si>
  <si>
    <t>LIST P=16F84</t>
  </si>
  <si>
    <t>#INCLUDE &lt;P16F84.inc&gt;</t>
  </si>
  <si>
    <t>LIST P=16f84</t>
  </si>
  <si>
    <t>#INCLUDE &lt;p16f84.inc&gt;</t>
  </si>
  <si>
    <t>LIST P=16F84A</t>
  </si>
  <si>
    <t>#INCLUDE &lt;p16f84A.inc&gt;</t>
  </si>
  <si>
    <t xml:space="preserve"> b7 </t>
  </si>
  <si>
    <t>(/RPPU)</t>
  </si>
  <si>
    <t xml:space="preserve">Calcul </t>
  </si>
  <si>
    <t>automatique</t>
  </si>
  <si>
    <t xml:space="preserve">Comparatif des registres </t>
  </si>
  <si>
    <t xml:space="preserve">Nom différent </t>
  </si>
  <si>
    <t xml:space="preserve">16f84 </t>
  </si>
  <si>
    <t>16f628</t>
  </si>
  <si>
    <t>12f629</t>
  </si>
  <si>
    <t>ADRESSAGE INDIRECT</t>
  </si>
  <si>
    <t>INDF                          EQU     H'0000'</t>
  </si>
  <si>
    <t>INDF                      EQU     H'0000'</t>
  </si>
  <si>
    <t>INDF                         EQU     H'0000'</t>
  </si>
  <si>
    <t>TIMER</t>
  </si>
  <si>
    <t>TMR0                         EQU     H'0001'</t>
  </si>
  <si>
    <t>TMR0                     EQU     H'0001'</t>
  </si>
  <si>
    <t>TMR0                        EQU     H'0001'</t>
  </si>
  <si>
    <t>COMPTEUR PRG</t>
  </si>
  <si>
    <t>PCL                           EQU     H'0002'</t>
  </si>
  <si>
    <t>PCL                       EQU     H'0002'</t>
  </si>
  <si>
    <t>PCL                          EQU     H'0002'</t>
  </si>
  <si>
    <t>ETAT</t>
  </si>
  <si>
    <t>STATUS                     EQU     H'0003'</t>
  </si>
  <si>
    <t>STATUS                 EQU     H'0003'</t>
  </si>
  <si>
    <t>STATUS                    EQU     H'0003'</t>
  </si>
  <si>
    <t>FSR                           EQU     H'0004'</t>
  </si>
  <si>
    <t>FSR                       EQU     H'0004'</t>
  </si>
  <si>
    <t>FSR                          EQU     H'0004'</t>
  </si>
  <si>
    <t xml:space="preserve">PORT entrée/sortie </t>
  </si>
  <si>
    <t>PORTA                      EQU     H'0005'</t>
  </si>
  <si>
    <t>PORTA                   EQU     H'0005'</t>
  </si>
  <si>
    <t>GPIO                         EQU     H'0005'</t>
  </si>
  <si>
    <t>PORTB                      EQU     H'0006'</t>
  </si>
  <si>
    <t>PORTB                   EQU     H'0006'</t>
  </si>
  <si>
    <t>Complement de PCL</t>
  </si>
  <si>
    <t>PCLATH                     EQU     H'000A'</t>
  </si>
  <si>
    <t>PCLATH                 EQU     H'000A'</t>
  </si>
  <si>
    <t>PCLATH                    EQU     H'000A'</t>
  </si>
  <si>
    <t>Interruption</t>
  </si>
  <si>
    <t>INTCON                     EQU     H'000B'</t>
  </si>
  <si>
    <t>INTCON                  EQU     H'000B'</t>
  </si>
  <si>
    <t>OPTION_REG            EQU     H'0081'</t>
  </si>
  <si>
    <t>OPTION_REG           EQU     H'0081'</t>
  </si>
  <si>
    <t>OPTION_REG</t>
  </si>
  <si>
    <t xml:space="preserve">    EQU     H'0081'</t>
  </si>
  <si>
    <t>affectation port</t>
  </si>
  <si>
    <t>TRISA                       EQU     H'0085'</t>
  </si>
  <si>
    <t>TRISIO</t>
  </si>
  <si>
    <t xml:space="preserve">    EQU     H'0085'</t>
  </si>
  <si>
    <t>TRISB                       EQU     H'0086'</t>
  </si>
  <si>
    <t xml:space="preserve">Adresses différentes </t>
  </si>
  <si>
    <t>mémoire</t>
  </si>
  <si>
    <t>EEDATA                    EQU     H'0008'</t>
  </si>
  <si>
    <t>EEDATA                   EQU     H'009A'</t>
  </si>
  <si>
    <t>EEDATA</t>
  </si>
  <si>
    <t xml:space="preserve">    EQU     H'009A'</t>
  </si>
  <si>
    <t>EEADR                      EQU     H'0009'</t>
  </si>
  <si>
    <t>EEADR                     EQU     H'009B'</t>
  </si>
  <si>
    <t>EEADR</t>
  </si>
  <si>
    <t xml:space="preserve">    EQU     H'009B'</t>
  </si>
  <si>
    <t>EECON1                   EQU     H'0088'</t>
  </si>
  <si>
    <t>EECON1                   EQU     H'009C'</t>
  </si>
  <si>
    <t>EECON1</t>
  </si>
  <si>
    <t xml:space="preserve">     EQU     H'009C'</t>
  </si>
  <si>
    <t>EECON2                   EQU     H'0089'</t>
  </si>
  <si>
    <t>EECON2                   EQU     H'009D'</t>
  </si>
  <si>
    <t>EECON2</t>
  </si>
  <si>
    <t xml:space="preserve">     EQU     H'009D'</t>
  </si>
  <si>
    <t>PIR1                       EQU     H'000C'</t>
  </si>
  <si>
    <t>PIR1</t>
  </si>
  <si>
    <t xml:space="preserve">     EQU     H'000C'</t>
  </si>
  <si>
    <t>TMR1L                    EQU     H'000E'</t>
  </si>
  <si>
    <t>TMR1L</t>
  </si>
  <si>
    <t xml:space="preserve">     EQU     H'000E'</t>
  </si>
  <si>
    <t>TMR1H                    EQU     H'000F'</t>
  </si>
  <si>
    <t>TMR1H</t>
  </si>
  <si>
    <t xml:space="preserve">     EQU     H'000F'</t>
  </si>
  <si>
    <t>T1CON                    EQU     H'0010'</t>
  </si>
  <si>
    <t>T1CON</t>
  </si>
  <si>
    <t xml:space="preserve">     EQU     H'0010'</t>
  </si>
  <si>
    <t>CMCON                   EQU     H'001F'</t>
  </si>
  <si>
    <t xml:space="preserve">     EQU     H'0019'</t>
  </si>
  <si>
    <t>TMR2                      EQU     H'0011'</t>
  </si>
  <si>
    <t>PIE1</t>
  </si>
  <si>
    <t xml:space="preserve">     EQU     H'008C'</t>
  </si>
  <si>
    <t>T2CON                    EQU     H'0012'</t>
  </si>
  <si>
    <t>PCON</t>
  </si>
  <si>
    <t xml:space="preserve">     EQU     H'008E'</t>
  </si>
  <si>
    <t>CCPR1L                  EQU     H'0015'</t>
  </si>
  <si>
    <t>OSCCAL</t>
  </si>
  <si>
    <t xml:space="preserve">     EQU     H'0090'</t>
  </si>
  <si>
    <t>CCPR1H                 EQU     H'0016'</t>
  </si>
  <si>
    <t>WPU</t>
  </si>
  <si>
    <t xml:space="preserve">     EQU     H'0095'</t>
  </si>
  <si>
    <t>CCP1CON               EQU     H'0017'</t>
  </si>
  <si>
    <t>IOCB</t>
  </si>
  <si>
    <t xml:space="preserve">     EQU     H'0096'</t>
  </si>
  <si>
    <t>RCSTA                    EQU     H'0018'</t>
  </si>
  <si>
    <t>IOC</t>
  </si>
  <si>
    <t>TXREG                    EQU     H'0019'</t>
  </si>
  <si>
    <t>VRCON</t>
  </si>
  <si>
    <t xml:space="preserve">     EQU     H'0099'</t>
  </si>
  <si>
    <t>RCREG                   EQU     H'001A'</t>
  </si>
  <si>
    <t>PIE1                         EQU     H'008C'</t>
  </si>
  <si>
    <t>PCON                       EQU     H'008E'</t>
  </si>
  <si>
    <t>PR2                          EQU     H'0092'</t>
  </si>
  <si>
    <t>TXSTA                      EQU     H'0098'</t>
  </si>
  <si>
    <t>SPBRG                     EQU     H'0099'</t>
  </si>
  <si>
    <t>VRCON                     EQU     H'009F'</t>
  </si>
  <si>
    <t>16F628</t>
  </si>
  <si>
    <t>Détermination de la configuration en 2 opérations</t>
  </si>
  <si>
    <t>WDT</t>
  </si>
  <si>
    <t>PWRT</t>
  </si>
  <si>
    <t>MCLRE (RA5)</t>
  </si>
  <si>
    <t>MCLR</t>
  </si>
  <si>
    <t>alimentaion  entrée au +</t>
  </si>
  <si>
    <t>BODEN</t>
  </si>
  <si>
    <t xml:space="preserve"> Voltage </t>
  </si>
  <si>
    <t>LVP</t>
  </si>
  <si>
    <t>programmation</t>
  </si>
  <si>
    <t>Protection EEPROM</t>
  </si>
  <si>
    <t>CPD</t>
  </si>
  <si>
    <t xml:space="preserve"> EEPROM</t>
  </si>
  <si>
    <t>verrouillage (CP)</t>
  </si>
  <si>
    <t>Oscillateur ( choix)</t>
  </si>
  <si>
    <t>Oscillateur</t>
  </si>
  <si>
    <t xml:space="preserve">Opération 2 </t>
  </si>
  <si>
    <t xml:space="preserve">AND </t>
  </si>
  <si>
    <t>3/ affichage de la configuraton</t>
  </si>
  <si>
    <t>3FEC</t>
  </si>
  <si>
    <t xml:space="preserve">quartz fequence basse </t>
  </si>
  <si>
    <t>3FED</t>
  </si>
  <si>
    <t>quartz (4Mhz)  (RA6 RA7)</t>
  </si>
  <si>
    <t xml:space="preserve"> 4/ à inclure dans le fichier  ASM</t>
  </si>
  <si>
    <t>LIST P=16f628</t>
  </si>
  <si>
    <t>HS</t>
  </si>
  <si>
    <t>3FEE</t>
  </si>
  <si>
    <t>Quartz rapide (RA6 RA7)</t>
  </si>
  <si>
    <t>#INCLUDE &lt;p16f628.inc&gt;</t>
  </si>
  <si>
    <t>ExtClk</t>
  </si>
  <si>
    <t>3FEF</t>
  </si>
  <si>
    <t>signal injecté sur RA7 sortie RA6</t>
  </si>
  <si>
    <t>INTERNE  I/O (1)</t>
  </si>
  <si>
    <t>R6  et R7  I/O</t>
  </si>
  <si>
    <t>INTERNE  CLKOUT(2)</t>
  </si>
  <si>
    <t xml:space="preserve"> R6  CLKOUT I/O  sur R6</t>
  </si>
  <si>
    <t>ER I/O</t>
  </si>
  <si>
    <t>resistance ext sur R7  R6 libre</t>
  </si>
  <si>
    <t>ER CLKOUT</t>
  </si>
  <si>
    <t>resistance ext sur R7 sortie R6</t>
  </si>
  <si>
    <t>Fosc</t>
  </si>
  <si>
    <t>CP CODE DE PROTECTION</t>
  </si>
  <si>
    <t>pas</t>
  </si>
  <si>
    <t>protection( 0:OFF)</t>
  </si>
  <si>
    <t>Validation (1:ON)</t>
  </si>
  <si>
    <t>alimentation</t>
  </si>
  <si>
    <t>1:R5/ reset</t>
  </si>
  <si>
    <t>(1111 OFF)</t>
  </si>
  <si>
    <t xml:space="preserve"> utilisé</t>
  </si>
  <si>
    <t>basse tension</t>
  </si>
  <si>
    <t>1(0N)</t>
  </si>
  <si>
    <t>0:E/S</t>
  </si>
  <si>
    <t>à partir d'une valeur</t>
  </si>
  <si>
    <t>CP0</t>
  </si>
  <si>
    <t>CP1</t>
  </si>
  <si>
    <t>MCLRE</t>
  </si>
  <si>
    <t>afficher votre  valeur si dessous</t>
  </si>
  <si>
    <t>3F18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</si>
</sst>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&quot; &quot;???/???"/>
    <numFmt numFmtId="166" formatCode="0.000000"/>
  </numFmts>
  <fonts count="20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Tahoma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4" borderId="8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4" fillId="5" borderId="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4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4" fillId="4" borderId="10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0" borderId="0" xfId="0" applyFont="1" applyBorder="1" applyAlignment="1" quotePrefix="1">
      <alignment/>
    </xf>
    <xf numFmtId="164" fontId="4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4" borderId="3" xfId="0" applyFont="1" applyFill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4" xfId="0" applyBorder="1" applyAlignment="1">
      <alignment/>
    </xf>
    <xf numFmtId="0" fontId="2" fillId="0" borderId="8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Border="1" applyAlignment="1" quotePrefix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7" borderId="0" xfId="0" applyFont="1" applyFill="1" applyBorder="1" applyAlignment="1">
      <alignment horizontal="left"/>
    </xf>
    <xf numFmtId="0" fontId="0" fillId="8" borderId="0" xfId="0" applyFill="1" applyBorder="1" applyAlignment="1">
      <alignment/>
    </xf>
    <xf numFmtId="0" fontId="9" fillId="7" borderId="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7" borderId="0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right"/>
    </xf>
    <xf numFmtId="0" fontId="4" fillId="8" borderId="1" xfId="0" applyFont="1" applyFill="1" applyBorder="1" applyAlignment="1">
      <alignment/>
    </xf>
    <xf numFmtId="0" fontId="8" fillId="0" borderId="2" xfId="0" applyFont="1" applyBorder="1" applyAlignment="1">
      <alignment/>
    </xf>
    <xf numFmtId="0" fontId="4" fillId="8" borderId="2" xfId="0" applyFont="1" applyFill="1" applyBorder="1" applyAlignment="1">
      <alignment/>
    </xf>
    <xf numFmtId="0" fontId="0" fillId="0" borderId="0" xfId="0" applyBorder="1" applyAlignment="1" quotePrefix="1">
      <alignment/>
    </xf>
    <xf numFmtId="0" fontId="6" fillId="8" borderId="2" xfId="0" applyFont="1" applyFill="1" applyBorder="1" applyAlignment="1">
      <alignment/>
    </xf>
    <xf numFmtId="0" fontId="6" fillId="8" borderId="3" xfId="0" applyFont="1" applyFill="1" applyBorder="1" applyAlignment="1">
      <alignment/>
    </xf>
    <xf numFmtId="0" fontId="6" fillId="0" borderId="0" xfId="0" applyFont="1" applyBorder="1" applyAlignment="1">
      <alignment/>
    </xf>
    <xf numFmtId="2" fontId="6" fillId="8" borderId="0" xfId="0" applyNumberFormat="1" applyFont="1" applyFill="1" applyBorder="1" applyAlignment="1">
      <alignment/>
    </xf>
    <xf numFmtId="0" fontId="4" fillId="7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3" fontId="4" fillId="0" borderId="17" xfId="0" applyNumberFormat="1" applyFont="1" applyBorder="1" applyAlignment="1">
      <alignment horizontal="center"/>
    </xf>
    <xf numFmtId="166" fontId="2" fillId="0" borderId="13" xfId="0" applyNumberFormat="1" applyFont="1" applyBorder="1" applyAlignment="1">
      <alignment/>
    </xf>
    <xf numFmtId="0" fontId="2" fillId="7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6" fontId="4" fillId="7" borderId="17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5" xfId="0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8" fillId="0" borderId="0" xfId="0" applyFont="1" applyAlignment="1">
      <alignment/>
    </xf>
    <xf numFmtId="0" fontId="4" fillId="6" borderId="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1" xfId="0" applyFont="1" applyBorder="1" applyAlignment="1">
      <alignment/>
    </xf>
    <xf numFmtId="0" fontId="8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8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2" fillId="3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8" borderId="2" xfId="0" applyFont="1" applyFill="1" applyBorder="1" applyAlignment="1">
      <alignment horizontal="center"/>
    </xf>
    <xf numFmtId="0" fontId="0" fillId="8" borderId="26" xfId="0" applyFill="1" applyBorder="1" applyAlignment="1">
      <alignment/>
    </xf>
    <xf numFmtId="0" fontId="2" fillId="9" borderId="2" xfId="0" applyFont="1" applyFill="1" applyBorder="1" applyAlignment="1">
      <alignment horizontal="center"/>
    </xf>
    <xf numFmtId="0" fontId="0" fillId="9" borderId="26" xfId="0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0" fillId="2" borderId="0" xfId="0" applyFill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/>
    </xf>
    <xf numFmtId="0" fontId="17" fillId="0" borderId="0" xfId="0" applyFont="1" applyAlignment="1">
      <alignment/>
    </xf>
    <xf numFmtId="0" fontId="0" fillId="0" borderId="26" xfId="0" applyFill="1" applyBorder="1" applyAlignment="1">
      <alignment/>
    </xf>
    <xf numFmtId="0" fontId="0" fillId="0" borderId="32" xfId="0" applyBorder="1" applyAlignment="1">
      <alignment/>
    </xf>
    <xf numFmtId="0" fontId="4" fillId="0" borderId="2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8" fillId="0" borderId="31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" fontId="8" fillId="0" borderId="0" xfId="0" applyNumberFormat="1" applyFont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7" fillId="7" borderId="0" xfId="0" applyFont="1" applyFill="1" applyAlignment="1">
      <alignment/>
    </xf>
    <xf numFmtId="0" fontId="0" fillId="7" borderId="0" xfId="0" applyFill="1" applyAlignment="1">
      <alignment/>
    </xf>
    <xf numFmtId="0" fontId="14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7" fillId="0" borderId="22" xfId="0" applyFont="1" applyBorder="1" applyAlignment="1">
      <alignment/>
    </xf>
    <xf numFmtId="0" fontId="2" fillId="10" borderId="2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22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7" xfId="0" applyFont="1" applyBorder="1" applyAlignment="1">
      <alignment/>
    </xf>
    <xf numFmtId="0" fontId="0" fillId="6" borderId="0" xfId="0" applyFill="1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8" xfId="0" applyFill="1" applyBorder="1" applyAlignment="1">
      <alignment/>
    </xf>
    <xf numFmtId="0" fontId="1" fillId="0" borderId="31" xfId="0" applyFont="1" applyBorder="1" applyAlignment="1">
      <alignment horizontal="center"/>
    </xf>
    <xf numFmtId="0" fontId="0" fillId="6" borderId="26" xfId="0" applyFill="1" applyBorder="1" applyAlignment="1">
      <alignment/>
    </xf>
    <xf numFmtId="0" fontId="4" fillId="6" borderId="26" xfId="0" applyFont="1" applyFill="1" applyBorder="1" applyAlignment="1">
      <alignment/>
    </xf>
    <xf numFmtId="0" fontId="8" fillId="8" borderId="14" xfId="0" applyFont="1" applyFill="1" applyBorder="1" applyAlignment="1">
      <alignment/>
    </xf>
    <xf numFmtId="0" fontId="8" fillId="8" borderId="15" xfId="0" applyFont="1" applyFill="1" applyBorder="1" applyAlignment="1">
      <alignment/>
    </xf>
    <xf numFmtId="0" fontId="8" fillId="8" borderId="16" xfId="0" applyFont="1" applyFill="1" applyBorder="1" applyAlignment="1">
      <alignment/>
    </xf>
    <xf numFmtId="0" fontId="8" fillId="6" borderId="31" xfId="0" applyFont="1" applyFill="1" applyBorder="1" applyAlignment="1">
      <alignment/>
    </xf>
    <xf numFmtId="0" fontId="8" fillId="13" borderId="31" xfId="0" applyFont="1" applyFill="1" applyBorder="1" applyAlignment="1">
      <alignment/>
    </xf>
    <xf numFmtId="0" fontId="8" fillId="4" borderId="31" xfId="0" applyFont="1" applyFill="1" applyBorder="1" applyAlignment="1">
      <alignment/>
    </xf>
    <xf numFmtId="0" fontId="8" fillId="12" borderId="31" xfId="0" applyFont="1" applyFill="1" applyBorder="1" applyAlignment="1">
      <alignment/>
    </xf>
    <xf numFmtId="0" fontId="8" fillId="7" borderId="14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8" fillId="11" borderId="16" xfId="0" applyFont="1" applyFill="1" applyBorder="1" applyAlignment="1">
      <alignment/>
    </xf>
    <xf numFmtId="0" fontId="8" fillId="10" borderId="14" xfId="0" applyFont="1" applyFill="1" applyBorder="1" applyAlignment="1">
      <alignment/>
    </xf>
    <xf numFmtId="0" fontId="2" fillId="2" borderId="33" xfId="0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38</xdr:row>
      <xdr:rowOff>38100</xdr:rowOff>
    </xdr:from>
    <xdr:to>
      <xdr:col>6</xdr:col>
      <xdr:colOff>171450</xdr:colOff>
      <xdr:row>40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5048250" y="659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28</xdr:row>
      <xdr:rowOff>57150</xdr:rowOff>
    </xdr:from>
    <xdr:to>
      <xdr:col>5</xdr:col>
      <xdr:colOff>142875</xdr:colOff>
      <xdr:row>30</xdr:row>
      <xdr:rowOff>66675</xdr:rowOff>
    </xdr:to>
    <xdr:sp>
      <xdr:nvSpPr>
        <xdr:cNvPr id="2" name="Line 2"/>
        <xdr:cNvSpPr>
          <a:spLocks/>
        </xdr:cNvSpPr>
      </xdr:nvSpPr>
      <xdr:spPr>
        <a:xfrm>
          <a:off x="4733925" y="47625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5</xdr:row>
      <xdr:rowOff>9525</xdr:rowOff>
    </xdr:from>
    <xdr:to>
      <xdr:col>3</xdr:col>
      <xdr:colOff>190500</xdr:colOff>
      <xdr:row>6</xdr:row>
      <xdr:rowOff>123825</xdr:rowOff>
    </xdr:to>
    <xdr:sp>
      <xdr:nvSpPr>
        <xdr:cNvPr id="3" name="Line 3"/>
        <xdr:cNvSpPr>
          <a:spLocks/>
        </xdr:cNvSpPr>
      </xdr:nvSpPr>
      <xdr:spPr>
        <a:xfrm>
          <a:off x="3133725" y="8953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48</xdr:row>
      <xdr:rowOff>9525</xdr:rowOff>
    </xdr:from>
    <xdr:to>
      <xdr:col>1</xdr:col>
      <xdr:colOff>161925</xdr:colOff>
      <xdr:row>54</xdr:row>
      <xdr:rowOff>171450</xdr:rowOff>
    </xdr:to>
    <xdr:grpSp>
      <xdr:nvGrpSpPr>
        <xdr:cNvPr id="4" name="Group 4"/>
        <xdr:cNvGrpSpPr>
          <a:grpSpLocks/>
        </xdr:cNvGrpSpPr>
      </xdr:nvGrpSpPr>
      <xdr:grpSpPr>
        <a:xfrm>
          <a:off x="409575" y="8429625"/>
          <a:ext cx="1143000" cy="1362075"/>
          <a:chOff x="43" y="885"/>
          <a:chExt cx="120" cy="143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60" y="885"/>
            <a:ext cx="86" cy="1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3" y="885"/>
            <a:ext cx="1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146" y="885"/>
            <a:ext cx="17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44" y="926"/>
            <a:ext cx="1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44" y="968"/>
            <a:ext cx="16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43" y="1010"/>
            <a:ext cx="1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147" y="926"/>
            <a:ext cx="1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147" y="968"/>
            <a:ext cx="1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147" y="1010"/>
            <a:ext cx="1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 flipV="1">
            <a:off x="93" y="885"/>
            <a:ext cx="16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149" y="892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238125</xdr:colOff>
      <xdr:row>149</xdr:row>
      <xdr:rowOff>47625</xdr:rowOff>
    </xdr:from>
    <xdr:to>
      <xdr:col>6</xdr:col>
      <xdr:colOff>1019175</xdr:colOff>
      <xdr:row>152</xdr:row>
      <xdr:rowOff>123825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114925" y="27470100"/>
          <a:ext cx="7810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Paramètres 
de la tension de référence 
    + f(b5)</a:t>
          </a:r>
        </a:p>
      </xdr:txBody>
    </xdr:sp>
    <xdr:clientData/>
  </xdr:twoCellAnchor>
  <xdr:twoCellAnchor>
    <xdr:from>
      <xdr:col>6</xdr:col>
      <xdr:colOff>133350</xdr:colOff>
      <xdr:row>149</xdr:row>
      <xdr:rowOff>28575</xdr:rowOff>
    </xdr:from>
    <xdr:to>
      <xdr:col>6</xdr:col>
      <xdr:colOff>133350</xdr:colOff>
      <xdr:row>152</xdr:row>
      <xdr:rowOff>171450</xdr:rowOff>
    </xdr:to>
    <xdr:sp>
      <xdr:nvSpPr>
        <xdr:cNvPr id="17" name="Line 17"/>
        <xdr:cNvSpPr>
          <a:spLocks/>
        </xdr:cNvSpPr>
      </xdr:nvSpPr>
      <xdr:spPr>
        <a:xfrm>
          <a:off x="5010150" y="274510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134</xdr:row>
      <xdr:rowOff>38100</xdr:rowOff>
    </xdr:from>
    <xdr:to>
      <xdr:col>6</xdr:col>
      <xdr:colOff>114300</xdr:colOff>
      <xdr:row>136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4991100" y="246697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134</xdr:row>
      <xdr:rowOff>114300</xdr:rowOff>
    </xdr:from>
    <xdr:to>
      <xdr:col>7</xdr:col>
      <xdr:colOff>295275</xdr:colOff>
      <xdr:row>136</xdr:row>
      <xdr:rowOff>95250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162550" y="24745950"/>
          <a:ext cx="16383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Mode de comparateur
( 111 Hors service)</a:t>
          </a:r>
        </a:p>
      </xdr:txBody>
    </xdr:sp>
    <xdr:clientData/>
  </xdr:twoCellAnchor>
  <xdr:twoCellAnchor>
    <xdr:from>
      <xdr:col>1</xdr:col>
      <xdr:colOff>95250</xdr:colOff>
      <xdr:row>131</xdr:row>
      <xdr:rowOff>0</xdr:rowOff>
    </xdr:from>
    <xdr:to>
      <xdr:col>1</xdr:col>
      <xdr:colOff>95250</xdr:colOff>
      <xdr:row>136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485900" y="24031575"/>
          <a:ext cx="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131</xdr:row>
      <xdr:rowOff>9525</xdr:rowOff>
    </xdr:from>
    <xdr:to>
      <xdr:col>2</xdr:col>
      <xdr:colOff>85725</xdr:colOff>
      <xdr:row>134</xdr:row>
      <xdr:rowOff>0</xdr:rowOff>
    </xdr:to>
    <xdr:sp>
      <xdr:nvSpPr>
        <xdr:cNvPr id="21" name="Line 21"/>
        <xdr:cNvSpPr>
          <a:spLocks/>
        </xdr:cNvSpPr>
      </xdr:nvSpPr>
      <xdr:spPr>
        <a:xfrm>
          <a:off x="1495425" y="24041100"/>
          <a:ext cx="7715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134</xdr:row>
      <xdr:rowOff>19050</xdr:rowOff>
    </xdr:from>
    <xdr:to>
      <xdr:col>2</xdr:col>
      <xdr:colOff>104775</xdr:colOff>
      <xdr:row>136</xdr:row>
      <xdr:rowOff>190500</xdr:rowOff>
    </xdr:to>
    <xdr:sp>
      <xdr:nvSpPr>
        <xdr:cNvPr id="22" name="Line 22"/>
        <xdr:cNvSpPr>
          <a:spLocks/>
        </xdr:cNvSpPr>
      </xdr:nvSpPr>
      <xdr:spPr>
        <a:xfrm flipV="1">
          <a:off x="1485900" y="24650700"/>
          <a:ext cx="8001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132</xdr:row>
      <xdr:rowOff>0</xdr:rowOff>
    </xdr:from>
    <xdr:to>
      <xdr:col>1</xdr:col>
      <xdr:colOff>104775</xdr:colOff>
      <xdr:row>132</xdr:row>
      <xdr:rowOff>0</xdr:rowOff>
    </xdr:to>
    <xdr:sp>
      <xdr:nvSpPr>
        <xdr:cNvPr id="23" name="Line 23"/>
        <xdr:cNvSpPr>
          <a:spLocks/>
        </xdr:cNvSpPr>
      </xdr:nvSpPr>
      <xdr:spPr>
        <a:xfrm>
          <a:off x="1295400" y="2423160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136</xdr:row>
      <xdr:rowOff>9525</xdr:rowOff>
    </xdr:from>
    <xdr:to>
      <xdr:col>1</xdr:col>
      <xdr:colOff>95250</xdr:colOff>
      <xdr:row>136</xdr:row>
      <xdr:rowOff>9525</xdr:rowOff>
    </xdr:to>
    <xdr:sp>
      <xdr:nvSpPr>
        <xdr:cNvPr id="24" name="Line 24"/>
        <xdr:cNvSpPr>
          <a:spLocks/>
        </xdr:cNvSpPr>
      </xdr:nvSpPr>
      <xdr:spPr>
        <a:xfrm>
          <a:off x="1333500" y="25041225"/>
          <a:ext cx="1524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131</xdr:row>
      <xdr:rowOff>47625</xdr:rowOff>
    </xdr:from>
    <xdr:to>
      <xdr:col>1</xdr:col>
      <xdr:colOff>400050</xdr:colOff>
      <xdr:row>132</xdr:row>
      <xdr:rowOff>57150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504950" y="24079200"/>
          <a:ext cx="2857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Vin-</a:t>
          </a:r>
        </a:p>
      </xdr:txBody>
    </xdr:sp>
    <xdr:clientData/>
  </xdr:twoCellAnchor>
  <xdr:twoCellAnchor>
    <xdr:from>
      <xdr:col>1</xdr:col>
      <xdr:colOff>95250</xdr:colOff>
      <xdr:row>135</xdr:row>
      <xdr:rowOff>114300</xdr:rowOff>
    </xdr:from>
    <xdr:to>
      <xdr:col>1</xdr:col>
      <xdr:colOff>447675</xdr:colOff>
      <xdr:row>136</xdr:row>
      <xdr:rowOff>114300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485900" y="24945975"/>
          <a:ext cx="3524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Vin+</a:t>
          </a:r>
        </a:p>
      </xdr:txBody>
    </xdr:sp>
    <xdr:clientData/>
  </xdr:twoCellAnchor>
  <xdr:twoCellAnchor>
    <xdr:from>
      <xdr:col>2</xdr:col>
      <xdr:colOff>123825</xdr:colOff>
      <xdr:row>134</xdr:row>
      <xdr:rowOff>9525</xdr:rowOff>
    </xdr:from>
    <xdr:to>
      <xdr:col>2</xdr:col>
      <xdr:colOff>323850</xdr:colOff>
      <xdr:row>134</xdr:row>
      <xdr:rowOff>9525</xdr:rowOff>
    </xdr:to>
    <xdr:sp>
      <xdr:nvSpPr>
        <xdr:cNvPr id="27" name="Line 27"/>
        <xdr:cNvSpPr>
          <a:spLocks/>
        </xdr:cNvSpPr>
      </xdr:nvSpPr>
      <xdr:spPr>
        <a:xfrm>
          <a:off x="2305050" y="24641175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131</xdr:row>
      <xdr:rowOff>95250</xdr:rowOff>
    </xdr:from>
    <xdr:to>
      <xdr:col>0</xdr:col>
      <xdr:colOff>942975</xdr:colOff>
      <xdr:row>131</xdr:row>
      <xdr:rowOff>95250</xdr:rowOff>
    </xdr:to>
    <xdr:sp>
      <xdr:nvSpPr>
        <xdr:cNvPr id="28" name="Line 28"/>
        <xdr:cNvSpPr>
          <a:spLocks/>
        </xdr:cNvSpPr>
      </xdr:nvSpPr>
      <xdr:spPr>
        <a:xfrm>
          <a:off x="742950" y="24126825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132</xdr:row>
      <xdr:rowOff>123825</xdr:rowOff>
    </xdr:from>
    <xdr:to>
      <xdr:col>0</xdr:col>
      <xdr:colOff>952500</xdr:colOff>
      <xdr:row>132</xdr:row>
      <xdr:rowOff>123825</xdr:rowOff>
    </xdr:to>
    <xdr:sp>
      <xdr:nvSpPr>
        <xdr:cNvPr id="29" name="Line 29"/>
        <xdr:cNvSpPr>
          <a:spLocks/>
        </xdr:cNvSpPr>
      </xdr:nvSpPr>
      <xdr:spPr>
        <a:xfrm>
          <a:off x="752475" y="24355425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838200</xdr:colOff>
      <xdr:row>135</xdr:row>
      <xdr:rowOff>104775</xdr:rowOff>
    </xdr:from>
    <xdr:to>
      <xdr:col>0</xdr:col>
      <xdr:colOff>1038225</xdr:colOff>
      <xdr:row>135</xdr:row>
      <xdr:rowOff>104775</xdr:rowOff>
    </xdr:to>
    <xdr:sp>
      <xdr:nvSpPr>
        <xdr:cNvPr id="30" name="Line 30"/>
        <xdr:cNvSpPr>
          <a:spLocks/>
        </xdr:cNvSpPr>
      </xdr:nvSpPr>
      <xdr:spPr>
        <a:xfrm>
          <a:off x="838200" y="2493645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132</xdr:row>
      <xdr:rowOff>114300</xdr:rowOff>
    </xdr:from>
    <xdr:to>
      <xdr:col>2</xdr:col>
      <xdr:colOff>723900</xdr:colOff>
      <xdr:row>133</xdr:row>
      <xdr:rowOff>104775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305050" y="24345900"/>
          <a:ext cx="600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b6  COUT</a:t>
          </a:r>
        </a:p>
      </xdr:txBody>
    </xdr:sp>
    <xdr:clientData/>
  </xdr:twoCellAnchor>
  <xdr:twoCellAnchor>
    <xdr:from>
      <xdr:col>0</xdr:col>
      <xdr:colOff>495300</xdr:colOff>
      <xdr:row>141</xdr:row>
      <xdr:rowOff>9525</xdr:rowOff>
    </xdr:from>
    <xdr:to>
      <xdr:col>0</xdr:col>
      <xdr:colOff>1162050</xdr:colOff>
      <xdr:row>142</xdr:row>
      <xdr:rowOff>66675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495300" y="25974675"/>
          <a:ext cx="666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GP1/CIN-</a:t>
          </a:r>
        </a:p>
      </xdr:txBody>
    </xdr:sp>
    <xdr:clientData/>
  </xdr:twoCellAnchor>
  <xdr:twoCellAnchor>
    <xdr:from>
      <xdr:col>0</xdr:col>
      <xdr:colOff>104775</xdr:colOff>
      <xdr:row>135</xdr:row>
      <xdr:rowOff>19050</xdr:rowOff>
    </xdr:from>
    <xdr:to>
      <xdr:col>0</xdr:col>
      <xdr:colOff>828675</xdr:colOff>
      <xdr:row>136</xdr:row>
      <xdr:rowOff>9525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04775" y="24850725"/>
          <a:ext cx="723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GP2/COUT</a:t>
          </a:r>
        </a:p>
      </xdr:txBody>
    </xdr:sp>
    <xdr:clientData/>
  </xdr:twoCellAnchor>
  <xdr:twoCellAnchor>
    <xdr:from>
      <xdr:col>0</xdr:col>
      <xdr:colOff>114300</xdr:colOff>
      <xdr:row>132</xdr:row>
      <xdr:rowOff>28575</xdr:rowOff>
    </xdr:from>
    <xdr:to>
      <xdr:col>0</xdr:col>
      <xdr:colOff>790575</xdr:colOff>
      <xdr:row>133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14300" y="24260175"/>
          <a:ext cx="6762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GP0/CIN+</a:t>
          </a:r>
        </a:p>
      </xdr:txBody>
    </xdr:sp>
    <xdr:clientData/>
  </xdr:twoCellAnchor>
  <xdr:twoCellAnchor>
    <xdr:from>
      <xdr:col>0</xdr:col>
      <xdr:colOff>133350</xdr:colOff>
      <xdr:row>130</xdr:row>
      <xdr:rowOff>180975</xdr:rowOff>
    </xdr:from>
    <xdr:to>
      <xdr:col>0</xdr:col>
      <xdr:colOff>771525</xdr:colOff>
      <xdr:row>131</xdr:row>
      <xdr:rowOff>152400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33350" y="24012525"/>
          <a:ext cx="638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GP1/CIN-</a:t>
          </a:r>
        </a:p>
      </xdr:txBody>
    </xdr:sp>
    <xdr:clientData/>
  </xdr:twoCellAnchor>
  <xdr:twoCellAnchor>
    <xdr:from>
      <xdr:col>0</xdr:col>
      <xdr:colOff>1076325</xdr:colOff>
      <xdr:row>128</xdr:row>
      <xdr:rowOff>152400</xdr:rowOff>
    </xdr:from>
    <xdr:to>
      <xdr:col>0</xdr:col>
      <xdr:colOff>1076325</xdr:colOff>
      <xdr:row>139</xdr:row>
      <xdr:rowOff>95250</xdr:rowOff>
    </xdr:to>
    <xdr:sp>
      <xdr:nvSpPr>
        <xdr:cNvPr id="36" name="Line 36"/>
        <xdr:cNvSpPr>
          <a:spLocks/>
        </xdr:cNvSpPr>
      </xdr:nvSpPr>
      <xdr:spPr>
        <a:xfrm>
          <a:off x="1076325" y="23612475"/>
          <a:ext cx="0" cy="2085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128</xdr:row>
      <xdr:rowOff>133350</xdr:rowOff>
    </xdr:from>
    <xdr:to>
      <xdr:col>0</xdr:col>
      <xdr:colOff>933450</xdr:colOff>
      <xdr:row>130</xdr:row>
      <xdr:rowOff>38100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352425" y="23593425"/>
          <a:ext cx="5810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Externe </a:t>
          </a:r>
        </a:p>
      </xdr:txBody>
    </xdr:sp>
    <xdr:clientData/>
  </xdr:twoCellAnchor>
  <xdr:twoCellAnchor>
    <xdr:from>
      <xdr:col>1</xdr:col>
      <xdr:colOff>9525</xdr:colOff>
      <xdr:row>129</xdr:row>
      <xdr:rowOff>9525</xdr:rowOff>
    </xdr:from>
    <xdr:to>
      <xdr:col>1</xdr:col>
      <xdr:colOff>542925</xdr:colOff>
      <xdr:row>130</xdr:row>
      <xdr:rowOff>47625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400175" y="23641050"/>
          <a:ext cx="5334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Interne </a:t>
          </a:r>
        </a:p>
      </xdr:txBody>
    </xdr:sp>
    <xdr:clientData/>
  </xdr:twoCellAnchor>
  <xdr:twoCellAnchor>
    <xdr:from>
      <xdr:col>0</xdr:col>
      <xdr:colOff>1009650</xdr:colOff>
      <xdr:row>131</xdr:row>
      <xdr:rowOff>104775</xdr:rowOff>
    </xdr:from>
    <xdr:to>
      <xdr:col>0</xdr:col>
      <xdr:colOff>1323975</xdr:colOff>
      <xdr:row>132</xdr:row>
      <xdr:rowOff>114300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009650" y="24136350"/>
          <a:ext cx="3143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CIS</a:t>
          </a:r>
        </a:p>
      </xdr:txBody>
    </xdr:sp>
    <xdr:clientData/>
  </xdr:twoCellAnchor>
  <xdr:twoCellAnchor>
    <xdr:from>
      <xdr:col>4</xdr:col>
      <xdr:colOff>38100</xdr:colOff>
      <xdr:row>165</xdr:row>
      <xdr:rowOff>38100</xdr:rowOff>
    </xdr:from>
    <xdr:to>
      <xdr:col>4</xdr:col>
      <xdr:colOff>485775</xdr:colOff>
      <xdr:row>165</xdr:row>
      <xdr:rowOff>38100</xdr:rowOff>
    </xdr:to>
    <xdr:sp>
      <xdr:nvSpPr>
        <xdr:cNvPr id="40" name="Line 40"/>
        <xdr:cNvSpPr>
          <a:spLocks/>
        </xdr:cNvSpPr>
      </xdr:nvSpPr>
      <xdr:spPr>
        <a:xfrm>
          <a:off x="3362325" y="305181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1266825</xdr:colOff>
      <xdr:row>157</xdr:row>
      <xdr:rowOff>57150</xdr:rowOff>
    </xdr:from>
    <xdr:to>
      <xdr:col>1</xdr:col>
      <xdr:colOff>628650</xdr:colOff>
      <xdr:row>159</xdr:row>
      <xdr:rowOff>104775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266825" y="29013150"/>
          <a:ext cx="7524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Calcul prescaler</a:t>
          </a:r>
        </a:p>
      </xdr:txBody>
    </xdr:sp>
    <xdr:clientData/>
  </xdr:twoCellAnchor>
  <xdr:twoCellAnchor>
    <xdr:from>
      <xdr:col>4</xdr:col>
      <xdr:colOff>285750</xdr:colOff>
      <xdr:row>182</xdr:row>
      <xdr:rowOff>28575</xdr:rowOff>
    </xdr:from>
    <xdr:to>
      <xdr:col>4</xdr:col>
      <xdr:colOff>590550</xdr:colOff>
      <xdr:row>182</xdr:row>
      <xdr:rowOff>28575</xdr:rowOff>
    </xdr:to>
    <xdr:sp>
      <xdr:nvSpPr>
        <xdr:cNvPr id="42" name="Line 42"/>
        <xdr:cNvSpPr>
          <a:spLocks/>
        </xdr:cNvSpPr>
      </xdr:nvSpPr>
      <xdr:spPr>
        <a:xfrm>
          <a:off x="3609975" y="337470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180</xdr:row>
      <xdr:rowOff>9525</xdr:rowOff>
    </xdr:from>
    <xdr:to>
      <xdr:col>6</xdr:col>
      <xdr:colOff>1095375</xdr:colOff>
      <xdr:row>181</xdr:row>
      <xdr:rowOff>19050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019675" y="33327975"/>
          <a:ext cx="952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Choix du canal</a:t>
          </a:r>
        </a:p>
      </xdr:txBody>
    </xdr:sp>
    <xdr:clientData/>
  </xdr:twoCellAnchor>
  <xdr:twoCellAnchor>
    <xdr:from>
      <xdr:col>6</xdr:col>
      <xdr:colOff>57150</xdr:colOff>
      <xdr:row>180</xdr:row>
      <xdr:rowOff>28575</xdr:rowOff>
    </xdr:from>
    <xdr:to>
      <xdr:col>6</xdr:col>
      <xdr:colOff>57150</xdr:colOff>
      <xdr:row>181</xdr:row>
      <xdr:rowOff>180975</xdr:rowOff>
    </xdr:to>
    <xdr:sp>
      <xdr:nvSpPr>
        <xdr:cNvPr id="44" name="Line 44"/>
        <xdr:cNvSpPr>
          <a:spLocks/>
        </xdr:cNvSpPr>
      </xdr:nvSpPr>
      <xdr:spPr>
        <a:xfrm>
          <a:off x="4933950" y="333470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193</xdr:row>
      <xdr:rowOff>38100</xdr:rowOff>
    </xdr:from>
    <xdr:to>
      <xdr:col>6</xdr:col>
      <xdr:colOff>66675</xdr:colOff>
      <xdr:row>195</xdr:row>
      <xdr:rowOff>171450</xdr:rowOff>
    </xdr:to>
    <xdr:sp>
      <xdr:nvSpPr>
        <xdr:cNvPr id="45" name="Line 45"/>
        <xdr:cNvSpPr>
          <a:spLocks/>
        </xdr:cNvSpPr>
      </xdr:nvSpPr>
      <xdr:spPr>
        <a:xfrm>
          <a:off x="4943475" y="357092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193</xdr:row>
      <xdr:rowOff>190500</xdr:rowOff>
    </xdr:from>
    <xdr:to>
      <xdr:col>6</xdr:col>
      <xdr:colOff>1581150</xdr:colOff>
      <xdr:row>194</xdr:row>
      <xdr:rowOff>190500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000625" y="35861625"/>
          <a:ext cx="14573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Selection de l'horloge</a:t>
          </a:r>
        </a:p>
      </xdr:txBody>
    </xdr:sp>
    <xdr:clientData/>
  </xdr:twoCellAnchor>
  <xdr:twoCellAnchor>
    <xdr:from>
      <xdr:col>6</xdr:col>
      <xdr:colOff>1323975</xdr:colOff>
      <xdr:row>196</xdr:row>
      <xdr:rowOff>47625</xdr:rowOff>
    </xdr:from>
    <xdr:to>
      <xdr:col>9</xdr:col>
      <xdr:colOff>114300</xdr:colOff>
      <xdr:row>197</xdr:row>
      <xdr:rowOff>28575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200775" y="36318825"/>
          <a:ext cx="2085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Sélection Analogique ou Digital</a:t>
          </a:r>
        </a:p>
      </xdr:txBody>
    </xdr:sp>
    <xdr:clientData/>
  </xdr:twoCellAnchor>
  <xdr:twoCellAnchor>
    <xdr:from>
      <xdr:col>6</xdr:col>
      <xdr:colOff>1076325</xdr:colOff>
      <xdr:row>196</xdr:row>
      <xdr:rowOff>95250</xdr:rowOff>
    </xdr:from>
    <xdr:to>
      <xdr:col>6</xdr:col>
      <xdr:colOff>1076325</xdr:colOff>
      <xdr:row>200</xdr:row>
      <xdr:rowOff>9525</xdr:rowOff>
    </xdr:to>
    <xdr:sp>
      <xdr:nvSpPr>
        <xdr:cNvPr id="48" name="Line 48"/>
        <xdr:cNvSpPr>
          <a:spLocks/>
        </xdr:cNvSpPr>
      </xdr:nvSpPr>
      <xdr:spPr>
        <a:xfrm>
          <a:off x="5953125" y="363664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1362075</xdr:colOff>
      <xdr:row>197</xdr:row>
      <xdr:rowOff>57150</xdr:rowOff>
    </xdr:from>
    <xdr:to>
      <xdr:col>9</xdr:col>
      <xdr:colOff>66675</xdr:colOff>
      <xdr:row>199</xdr:row>
      <xdr:rowOff>161925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6238875" y="36528375"/>
          <a:ext cx="20002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TRISIO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doit etre en concordance
pour permettre le contrôle de tension </a:t>
          </a:r>
        </a:p>
      </xdr:txBody>
    </xdr:sp>
    <xdr:clientData/>
  </xdr:twoCellAnchor>
  <xdr:twoCellAnchor>
    <xdr:from>
      <xdr:col>6</xdr:col>
      <xdr:colOff>952500</xdr:colOff>
      <xdr:row>163</xdr:row>
      <xdr:rowOff>9525</xdr:rowOff>
    </xdr:from>
    <xdr:to>
      <xdr:col>6</xdr:col>
      <xdr:colOff>1495425</xdr:colOff>
      <xdr:row>163</xdr:row>
      <xdr:rowOff>9525</xdr:rowOff>
    </xdr:to>
    <xdr:sp>
      <xdr:nvSpPr>
        <xdr:cNvPr id="50" name="Line 50"/>
        <xdr:cNvSpPr>
          <a:spLocks/>
        </xdr:cNvSpPr>
      </xdr:nvSpPr>
      <xdr:spPr>
        <a:xfrm>
          <a:off x="5829300" y="300799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11</xdr:row>
      <xdr:rowOff>9525</xdr:rowOff>
    </xdr:from>
    <xdr:to>
      <xdr:col>2</xdr:col>
      <xdr:colOff>428625</xdr:colOff>
      <xdr:row>21</xdr:row>
      <xdr:rowOff>152400</xdr:rowOff>
    </xdr:to>
    <xdr:sp>
      <xdr:nvSpPr>
        <xdr:cNvPr id="51" name="Line 80"/>
        <xdr:cNvSpPr>
          <a:spLocks/>
        </xdr:cNvSpPr>
      </xdr:nvSpPr>
      <xdr:spPr>
        <a:xfrm flipH="1">
          <a:off x="1876425" y="1876425"/>
          <a:ext cx="733425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7</xdr:row>
      <xdr:rowOff>9525</xdr:rowOff>
    </xdr:from>
    <xdr:to>
      <xdr:col>2</xdr:col>
      <xdr:colOff>466725</xdr:colOff>
      <xdr:row>14</xdr:row>
      <xdr:rowOff>19050</xdr:rowOff>
    </xdr:to>
    <xdr:sp>
      <xdr:nvSpPr>
        <xdr:cNvPr id="52" name="Line 81"/>
        <xdr:cNvSpPr>
          <a:spLocks/>
        </xdr:cNvSpPr>
      </xdr:nvSpPr>
      <xdr:spPr>
        <a:xfrm>
          <a:off x="2647950" y="122872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1114425</xdr:colOff>
      <xdr:row>5</xdr:row>
      <xdr:rowOff>19050</xdr:rowOff>
    </xdr:from>
    <xdr:to>
      <xdr:col>6</xdr:col>
      <xdr:colOff>114300</xdr:colOff>
      <xdr:row>6</xdr:row>
      <xdr:rowOff>104775</xdr:rowOff>
    </xdr:to>
    <xdr:sp>
      <xdr:nvSpPr>
        <xdr:cNvPr id="53" name="Line 82"/>
        <xdr:cNvSpPr>
          <a:spLocks/>
        </xdr:cNvSpPr>
      </xdr:nvSpPr>
      <xdr:spPr>
        <a:xfrm>
          <a:off x="4438650" y="904875"/>
          <a:ext cx="5524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42</xdr:row>
      <xdr:rowOff>114300</xdr:rowOff>
    </xdr:from>
    <xdr:to>
      <xdr:col>2</xdr:col>
      <xdr:colOff>590550</xdr:colOff>
      <xdr:row>42</xdr:row>
      <xdr:rowOff>114300</xdr:rowOff>
    </xdr:to>
    <xdr:sp>
      <xdr:nvSpPr>
        <xdr:cNvPr id="54" name="Line 83"/>
        <xdr:cNvSpPr>
          <a:spLocks/>
        </xdr:cNvSpPr>
      </xdr:nvSpPr>
      <xdr:spPr>
        <a:xfrm>
          <a:off x="1657350" y="747712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40</xdr:row>
      <xdr:rowOff>38100</xdr:rowOff>
    </xdr:from>
    <xdr:to>
      <xdr:col>6</xdr:col>
      <xdr:colOff>171450</xdr:colOff>
      <xdr:row>42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057900" y="457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30</xdr:row>
      <xdr:rowOff>57150</xdr:rowOff>
    </xdr:from>
    <xdr:to>
      <xdr:col>5</xdr:col>
      <xdr:colOff>142875</xdr:colOff>
      <xdr:row>32</xdr:row>
      <xdr:rowOff>66675</xdr:rowOff>
    </xdr:to>
    <xdr:sp>
      <xdr:nvSpPr>
        <xdr:cNvPr id="2" name="Line 2"/>
        <xdr:cNvSpPr>
          <a:spLocks/>
        </xdr:cNvSpPr>
      </xdr:nvSpPr>
      <xdr:spPr>
        <a:xfrm>
          <a:off x="5562600" y="457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5</xdr:row>
      <xdr:rowOff>19050</xdr:rowOff>
    </xdr:from>
    <xdr:to>
      <xdr:col>3</xdr:col>
      <xdr:colOff>428625</xdr:colOff>
      <xdr:row>6</xdr:row>
      <xdr:rowOff>161925</xdr:rowOff>
    </xdr:to>
    <xdr:sp>
      <xdr:nvSpPr>
        <xdr:cNvPr id="3" name="Line 3"/>
        <xdr:cNvSpPr>
          <a:spLocks/>
        </xdr:cNvSpPr>
      </xdr:nvSpPr>
      <xdr:spPr>
        <a:xfrm>
          <a:off x="3609975" y="990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50</xdr:row>
      <xdr:rowOff>9525</xdr:rowOff>
    </xdr:from>
    <xdr:to>
      <xdr:col>1</xdr:col>
      <xdr:colOff>161925</xdr:colOff>
      <xdr:row>56</xdr:row>
      <xdr:rowOff>171450</xdr:rowOff>
    </xdr:to>
    <xdr:grpSp>
      <xdr:nvGrpSpPr>
        <xdr:cNvPr id="4" name="Group 4"/>
        <xdr:cNvGrpSpPr>
          <a:grpSpLocks/>
        </xdr:cNvGrpSpPr>
      </xdr:nvGrpSpPr>
      <xdr:grpSpPr>
        <a:xfrm>
          <a:off x="409575" y="4572000"/>
          <a:ext cx="1533525" cy="0"/>
          <a:chOff x="43" y="885"/>
          <a:chExt cx="120" cy="143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60" y="885"/>
            <a:ext cx="86" cy="1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3" y="885"/>
            <a:ext cx="1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+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146" y="885"/>
            <a:ext cx="17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44" y="926"/>
            <a:ext cx="1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44" y="968"/>
            <a:ext cx="16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43" y="1010"/>
            <a:ext cx="1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147" y="926"/>
            <a:ext cx="1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147" y="968"/>
            <a:ext cx="1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147" y="1010"/>
            <a:ext cx="1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 flipV="1">
            <a:off x="93" y="885"/>
            <a:ext cx="16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149" y="892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238125</xdr:colOff>
      <xdr:row>151</xdr:row>
      <xdr:rowOff>47625</xdr:rowOff>
    </xdr:from>
    <xdr:to>
      <xdr:col>6</xdr:col>
      <xdr:colOff>1019175</xdr:colOff>
      <xdr:row>154</xdr:row>
      <xdr:rowOff>123825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124575" y="4572000"/>
          <a:ext cx="781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Paramètres 
de la tension de référence 
    + f(b5)</a:t>
          </a:r>
        </a:p>
      </xdr:txBody>
    </xdr:sp>
    <xdr:clientData/>
  </xdr:twoCellAnchor>
  <xdr:twoCellAnchor>
    <xdr:from>
      <xdr:col>6</xdr:col>
      <xdr:colOff>133350</xdr:colOff>
      <xdr:row>151</xdr:row>
      <xdr:rowOff>28575</xdr:rowOff>
    </xdr:from>
    <xdr:to>
      <xdr:col>6</xdr:col>
      <xdr:colOff>133350</xdr:colOff>
      <xdr:row>154</xdr:row>
      <xdr:rowOff>171450</xdr:rowOff>
    </xdr:to>
    <xdr:sp>
      <xdr:nvSpPr>
        <xdr:cNvPr id="17" name="Line 17"/>
        <xdr:cNvSpPr>
          <a:spLocks/>
        </xdr:cNvSpPr>
      </xdr:nvSpPr>
      <xdr:spPr>
        <a:xfrm>
          <a:off x="6019800" y="457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136</xdr:row>
      <xdr:rowOff>38100</xdr:rowOff>
    </xdr:from>
    <xdr:to>
      <xdr:col>6</xdr:col>
      <xdr:colOff>114300</xdr:colOff>
      <xdr:row>138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00750" y="457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136</xdr:row>
      <xdr:rowOff>114300</xdr:rowOff>
    </xdr:from>
    <xdr:to>
      <xdr:col>7</xdr:col>
      <xdr:colOff>295275</xdr:colOff>
      <xdr:row>138</xdr:row>
      <xdr:rowOff>95250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172200" y="4572000"/>
          <a:ext cx="1076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Mode de comparateur
( 111 Hors service)</a:t>
          </a:r>
        </a:p>
      </xdr:txBody>
    </xdr:sp>
    <xdr:clientData/>
  </xdr:twoCellAnchor>
  <xdr:twoCellAnchor>
    <xdr:from>
      <xdr:col>1</xdr:col>
      <xdr:colOff>95250</xdr:colOff>
      <xdr:row>133</xdr:row>
      <xdr:rowOff>0</xdr:rowOff>
    </xdr:from>
    <xdr:to>
      <xdr:col>1</xdr:col>
      <xdr:colOff>95250</xdr:colOff>
      <xdr:row>138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876425" y="457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133</xdr:row>
      <xdr:rowOff>9525</xdr:rowOff>
    </xdr:from>
    <xdr:to>
      <xdr:col>2</xdr:col>
      <xdr:colOff>85725</xdr:colOff>
      <xdr:row>136</xdr:row>
      <xdr:rowOff>0</xdr:rowOff>
    </xdr:to>
    <xdr:sp>
      <xdr:nvSpPr>
        <xdr:cNvPr id="21" name="Line 21"/>
        <xdr:cNvSpPr>
          <a:spLocks/>
        </xdr:cNvSpPr>
      </xdr:nvSpPr>
      <xdr:spPr>
        <a:xfrm>
          <a:off x="1885950" y="45720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136</xdr:row>
      <xdr:rowOff>19050</xdr:rowOff>
    </xdr:from>
    <xdr:to>
      <xdr:col>2</xdr:col>
      <xdr:colOff>104775</xdr:colOff>
      <xdr:row>138</xdr:row>
      <xdr:rowOff>190500</xdr:rowOff>
    </xdr:to>
    <xdr:sp>
      <xdr:nvSpPr>
        <xdr:cNvPr id="22" name="Line 22"/>
        <xdr:cNvSpPr>
          <a:spLocks/>
        </xdr:cNvSpPr>
      </xdr:nvSpPr>
      <xdr:spPr>
        <a:xfrm flipV="1">
          <a:off x="1876425" y="4572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134</xdr:row>
      <xdr:rowOff>0</xdr:rowOff>
    </xdr:from>
    <xdr:to>
      <xdr:col>1</xdr:col>
      <xdr:colOff>104775</xdr:colOff>
      <xdr:row>134</xdr:row>
      <xdr:rowOff>0</xdr:rowOff>
    </xdr:to>
    <xdr:sp>
      <xdr:nvSpPr>
        <xdr:cNvPr id="23" name="Line 23"/>
        <xdr:cNvSpPr>
          <a:spLocks/>
        </xdr:cNvSpPr>
      </xdr:nvSpPr>
      <xdr:spPr>
        <a:xfrm>
          <a:off x="1295400" y="4572000"/>
          <a:ext cx="5905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138</xdr:row>
      <xdr:rowOff>9525</xdr:rowOff>
    </xdr:from>
    <xdr:to>
      <xdr:col>1</xdr:col>
      <xdr:colOff>95250</xdr:colOff>
      <xdr:row>138</xdr:row>
      <xdr:rowOff>9525</xdr:rowOff>
    </xdr:to>
    <xdr:sp>
      <xdr:nvSpPr>
        <xdr:cNvPr id="24" name="Line 24"/>
        <xdr:cNvSpPr>
          <a:spLocks/>
        </xdr:cNvSpPr>
      </xdr:nvSpPr>
      <xdr:spPr>
        <a:xfrm>
          <a:off x="1333500" y="4572000"/>
          <a:ext cx="542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133</xdr:row>
      <xdr:rowOff>47625</xdr:rowOff>
    </xdr:from>
    <xdr:to>
      <xdr:col>1</xdr:col>
      <xdr:colOff>400050</xdr:colOff>
      <xdr:row>134</xdr:row>
      <xdr:rowOff>57150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895475" y="4572000"/>
          <a:ext cx="285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Vin-</a:t>
          </a:r>
        </a:p>
      </xdr:txBody>
    </xdr:sp>
    <xdr:clientData/>
  </xdr:twoCellAnchor>
  <xdr:twoCellAnchor>
    <xdr:from>
      <xdr:col>1</xdr:col>
      <xdr:colOff>95250</xdr:colOff>
      <xdr:row>137</xdr:row>
      <xdr:rowOff>114300</xdr:rowOff>
    </xdr:from>
    <xdr:to>
      <xdr:col>1</xdr:col>
      <xdr:colOff>447675</xdr:colOff>
      <xdr:row>138</xdr:row>
      <xdr:rowOff>114300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876425" y="4572000"/>
          <a:ext cx="35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Vin+</a:t>
          </a:r>
        </a:p>
      </xdr:txBody>
    </xdr:sp>
    <xdr:clientData/>
  </xdr:twoCellAnchor>
  <xdr:twoCellAnchor>
    <xdr:from>
      <xdr:col>2</xdr:col>
      <xdr:colOff>123825</xdr:colOff>
      <xdr:row>136</xdr:row>
      <xdr:rowOff>9525</xdr:rowOff>
    </xdr:from>
    <xdr:to>
      <xdr:col>2</xdr:col>
      <xdr:colOff>323850</xdr:colOff>
      <xdr:row>136</xdr:row>
      <xdr:rowOff>9525</xdr:rowOff>
    </xdr:to>
    <xdr:sp>
      <xdr:nvSpPr>
        <xdr:cNvPr id="27" name="Line 27"/>
        <xdr:cNvSpPr>
          <a:spLocks/>
        </xdr:cNvSpPr>
      </xdr:nvSpPr>
      <xdr:spPr>
        <a:xfrm>
          <a:off x="2543175" y="457200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133</xdr:row>
      <xdr:rowOff>95250</xdr:rowOff>
    </xdr:from>
    <xdr:to>
      <xdr:col>0</xdr:col>
      <xdr:colOff>942975</xdr:colOff>
      <xdr:row>133</xdr:row>
      <xdr:rowOff>95250</xdr:rowOff>
    </xdr:to>
    <xdr:sp>
      <xdr:nvSpPr>
        <xdr:cNvPr id="28" name="Line 28"/>
        <xdr:cNvSpPr>
          <a:spLocks/>
        </xdr:cNvSpPr>
      </xdr:nvSpPr>
      <xdr:spPr>
        <a:xfrm>
          <a:off x="742950" y="457200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134</xdr:row>
      <xdr:rowOff>123825</xdr:rowOff>
    </xdr:from>
    <xdr:to>
      <xdr:col>0</xdr:col>
      <xdr:colOff>952500</xdr:colOff>
      <xdr:row>134</xdr:row>
      <xdr:rowOff>123825</xdr:rowOff>
    </xdr:to>
    <xdr:sp>
      <xdr:nvSpPr>
        <xdr:cNvPr id="29" name="Line 29"/>
        <xdr:cNvSpPr>
          <a:spLocks/>
        </xdr:cNvSpPr>
      </xdr:nvSpPr>
      <xdr:spPr>
        <a:xfrm>
          <a:off x="752475" y="457200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838200</xdr:colOff>
      <xdr:row>137</xdr:row>
      <xdr:rowOff>104775</xdr:rowOff>
    </xdr:from>
    <xdr:to>
      <xdr:col>0</xdr:col>
      <xdr:colOff>1038225</xdr:colOff>
      <xdr:row>137</xdr:row>
      <xdr:rowOff>104775</xdr:rowOff>
    </xdr:to>
    <xdr:sp>
      <xdr:nvSpPr>
        <xdr:cNvPr id="30" name="Line 30"/>
        <xdr:cNvSpPr>
          <a:spLocks/>
        </xdr:cNvSpPr>
      </xdr:nvSpPr>
      <xdr:spPr>
        <a:xfrm>
          <a:off x="838200" y="457200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134</xdr:row>
      <xdr:rowOff>114300</xdr:rowOff>
    </xdr:from>
    <xdr:to>
      <xdr:col>2</xdr:col>
      <xdr:colOff>723900</xdr:colOff>
      <xdr:row>135</xdr:row>
      <xdr:rowOff>104775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543175" y="4572000"/>
          <a:ext cx="600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b6  COUT</a:t>
          </a:r>
        </a:p>
      </xdr:txBody>
    </xdr:sp>
    <xdr:clientData/>
  </xdr:twoCellAnchor>
  <xdr:twoCellAnchor>
    <xdr:from>
      <xdr:col>0</xdr:col>
      <xdr:colOff>495300</xdr:colOff>
      <xdr:row>143</xdr:row>
      <xdr:rowOff>9525</xdr:rowOff>
    </xdr:from>
    <xdr:to>
      <xdr:col>0</xdr:col>
      <xdr:colOff>1162050</xdr:colOff>
      <xdr:row>144</xdr:row>
      <xdr:rowOff>66675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495300" y="4572000"/>
          <a:ext cx="666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GP1/CIN-</a:t>
          </a:r>
        </a:p>
      </xdr:txBody>
    </xdr:sp>
    <xdr:clientData/>
  </xdr:twoCellAnchor>
  <xdr:twoCellAnchor>
    <xdr:from>
      <xdr:col>0</xdr:col>
      <xdr:colOff>104775</xdr:colOff>
      <xdr:row>137</xdr:row>
      <xdr:rowOff>19050</xdr:rowOff>
    </xdr:from>
    <xdr:to>
      <xdr:col>0</xdr:col>
      <xdr:colOff>828675</xdr:colOff>
      <xdr:row>138</xdr:row>
      <xdr:rowOff>9525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04775" y="4572000"/>
          <a:ext cx="723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GP2/COUT</a:t>
          </a:r>
        </a:p>
      </xdr:txBody>
    </xdr:sp>
    <xdr:clientData/>
  </xdr:twoCellAnchor>
  <xdr:twoCellAnchor>
    <xdr:from>
      <xdr:col>0</xdr:col>
      <xdr:colOff>114300</xdr:colOff>
      <xdr:row>134</xdr:row>
      <xdr:rowOff>28575</xdr:rowOff>
    </xdr:from>
    <xdr:to>
      <xdr:col>0</xdr:col>
      <xdr:colOff>790575</xdr:colOff>
      <xdr:row>135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14300" y="4572000"/>
          <a:ext cx="676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GP0/CIN+</a:t>
          </a:r>
        </a:p>
      </xdr:txBody>
    </xdr:sp>
    <xdr:clientData/>
  </xdr:twoCellAnchor>
  <xdr:twoCellAnchor>
    <xdr:from>
      <xdr:col>0</xdr:col>
      <xdr:colOff>133350</xdr:colOff>
      <xdr:row>132</xdr:row>
      <xdr:rowOff>180975</xdr:rowOff>
    </xdr:from>
    <xdr:to>
      <xdr:col>0</xdr:col>
      <xdr:colOff>771525</xdr:colOff>
      <xdr:row>133</xdr:row>
      <xdr:rowOff>152400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33350" y="4572000"/>
          <a:ext cx="638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GP1/CIN-</a:t>
          </a:r>
        </a:p>
      </xdr:txBody>
    </xdr:sp>
    <xdr:clientData/>
  </xdr:twoCellAnchor>
  <xdr:twoCellAnchor>
    <xdr:from>
      <xdr:col>0</xdr:col>
      <xdr:colOff>1076325</xdr:colOff>
      <xdr:row>130</xdr:row>
      <xdr:rowOff>152400</xdr:rowOff>
    </xdr:from>
    <xdr:to>
      <xdr:col>0</xdr:col>
      <xdr:colOff>1076325</xdr:colOff>
      <xdr:row>141</xdr:row>
      <xdr:rowOff>95250</xdr:rowOff>
    </xdr:to>
    <xdr:sp>
      <xdr:nvSpPr>
        <xdr:cNvPr id="36" name="Line 36"/>
        <xdr:cNvSpPr>
          <a:spLocks/>
        </xdr:cNvSpPr>
      </xdr:nvSpPr>
      <xdr:spPr>
        <a:xfrm>
          <a:off x="1076325" y="457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130</xdr:row>
      <xdr:rowOff>133350</xdr:rowOff>
    </xdr:from>
    <xdr:to>
      <xdr:col>0</xdr:col>
      <xdr:colOff>933450</xdr:colOff>
      <xdr:row>132</xdr:row>
      <xdr:rowOff>38100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352425" y="4572000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Externe </a:t>
          </a:r>
        </a:p>
      </xdr:txBody>
    </xdr:sp>
    <xdr:clientData/>
  </xdr:twoCellAnchor>
  <xdr:twoCellAnchor>
    <xdr:from>
      <xdr:col>1</xdr:col>
      <xdr:colOff>9525</xdr:colOff>
      <xdr:row>131</xdr:row>
      <xdr:rowOff>9525</xdr:rowOff>
    </xdr:from>
    <xdr:to>
      <xdr:col>1</xdr:col>
      <xdr:colOff>542925</xdr:colOff>
      <xdr:row>132</xdr:row>
      <xdr:rowOff>47625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790700" y="4572000"/>
          <a:ext cx="533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Interne </a:t>
          </a:r>
        </a:p>
      </xdr:txBody>
    </xdr:sp>
    <xdr:clientData/>
  </xdr:twoCellAnchor>
  <xdr:twoCellAnchor>
    <xdr:from>
      <xdr:col>0</xdr:col>
      <xdr:colOff>1009650</xdr:colOff>
      <xdr:row>133</xdr:row>
      <xdr:rowOff>104775</xdr:rowOff>
    </xdr:from>
    <xdr:to>
      <xdr:col>0</xdr:col>
      <xdr:colOff>1323975</xdr:colOff>
      <xdr:row>134</xdr:row>
      <xdr:rowOff>114300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009650" y="4572000"/>
          <a:ext cx="314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CIS</a:t>
          </a:r>
        </a:p>
      </xdr:txBody>
    </xdr:sp>
    <xdr:clientData/>
  </xdr:twoCellAnchor>
  <xdr:twoCellAnchor>
    <xdr:from>
      <xdr:col>4</xdr:col>
      <xdr:colOff>38100</xdr:colOff>
      <xdr:row>167</xdr:row>
      <xdr:rowOff>38100</xdr:rowOff>
    </xdr:from>
    <xdr:to>
      <xdr:col>4</xdr:col>
      <xdr:colOff>485775</xdr:colOff>
      <xdr:row>167</xdr:row>
      <xdr:rowOff>38100</xdr:rowOff>
    </xdr:to>
    <xdr:sp>
      <xdr:nvSpPr>
        <xdr:cNvPr id="40" name="Line 40"/>
        <xdr:cNvSpPr>
          <a:spLocks/>
        </xdr:cNvSpPr>
      </xdr:nvSpPr>
      <xdr:spPr>
        <a:xfrm>
          <a:off x="4514850" y="45720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1266825</xdr:colOff>
      <xdr:row>159</xdr:row>
      <xdr:rowOff>57150</xdr:rowOff>
    </xdr:from>
    <xdr:to>
      <xdr:col>1</xdr:col>
      <xdr:colOff>628650</xdr:colOff>
      <xdr:row>161</xdr:row>
      <xdr:rowOff>104775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266825" y="4572000"/>
          <a:ext cx="1143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Calcul prescaler</a:t>
          </a:r>
        </a:p>
      </xdr:txBody>
    </xdr:sp>
    <xdr:clientData/>
  </xdr:twoCellAnchor>
  <xdr:twoCellAnchor>
    <xdr:from>
      <xdr:col>4</xdr:col>
      <xdr:colOff>285750</xdr:colOff>
      <xdr:row>184</xdr:row>
      <xdr:rowOff>28575</xdr:rowOff>
    </xdr:from>
    <xdr:to>
      <xdr:col>4</xdr:col>
      <xdr:colOff>590550</xdr:colOff>
      <xdr:row>184</xdr:row>
      <xdr:rowOff>28575</xdr:rowOff>
    </xdr:to>
    <xdr:sp>
      <xdr:nvSpPr>
        <xdr:cNvPr id="42" name="Line 42"/>
        <xdr:cNvSpPr>
          <a:spLocks/>
        </xdr:cNvSpPr>
      </xdr:nvSpPr>
      <xdr:spPr>
        <a:xfrm>
          <a:off x="4762500" y="45720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182</xdr:row>
      <xdr:rowOff>9525</xdr:rowOff>
    </xdr:from>
    <xdr:to>
      <xdr:col>6</xdr:col>
      <xdr:colOff>1066800</xdr:colOff>
      <xdr:row>183</xdr:row>
      <xdr:rowOff>19050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029325" y="4572000"/>
          <a:ext cx="92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Choix du canal</a:t>
          </a:r>
        </a:p>
      </xdr:txBody>
    </xdr:sp>
    <xdr:clientData/>
  </xdr:twoCellAnchor>
  <xdr:twoCellAnchor>
    <xdr:from>
      <xdr:col>6</xdr:col>
      <xdr:colOff>57150</xdr:colOff>
      <xdr:row>182</xdr:row>
      <xdr:rowOff>28575</xdr:rowOff>
    </xdr:from>
    <xdr:to>
      <xdr:col>6</xdr:col>
      <xdr:colOff>57150</xdr:colOff>
      <xdr:row>183</xdr:row>
      <xdr:rowOff>180975</xdr:rowOff>
    </xdr:to>
    <xdr:sp>
      <xdr:nvSpPr>
        <xdr:cNvPr id="44" name="Line 44"/>
        <xdr:cNvSpPr>
          <a:spLocks/>
        </xdr:cNvSpPr>
      </xdr:nvSpPr>
      <xdr:spPr>
        <a:xfrm>
          <a:off x="5943600" y="457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195</xdr:row>
      <xdr:rowOff>38100</xdr:rowOff>
    </xdr:from>
    <xdr:to>
      <xdr:col>6</xdr:col>
      <xdr:colOff>66675</xdr:colOff>
      <xdr:row>197</xdr:row>
      <xdr:rowOff>171450</xdr:rowOff>
    </xdr:to>
    <xdr:sp>
      <xdr:nvSpPr>
        <xdr:cNvPr id="45" name="Line 45"/>
        <xdr:cNvSpPr>
          <a:spLocks/>
        </xdr:cNvSpPr>
      </xdr:nvSpPr>
      <xdr:spPr>
        <a:xfrm>
          <a:off x="5953125" y="457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195</xdr:row>
      <xdr:rowOff>190500</xdr:rowOff>
    </xdr:from>
    <xdr:to>
      <xdr:col>6</xdr:col>
      <xdr:colOff>1066800</xdr:colOff>
      <xdr:row>196</xdr:row>
      <xdr:rowOff>190500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010275" y="4572000"/>
          <a:ext cx="942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Selection de l'horloge</a:t>
          </a:r>
        </a:p>
      </xdr:txBody>
    </xdr:sp>
    <xdr:clientData/>
  </xdr:twoCellAnchor>
  <xdr:twoCellAnchor>
    <xdr:from>
      <xdr:col>6</xdr:col>
      <xdr:colOff>1066800</xdr:colOff>
      <xdr:row>198</xdr:row>
      <xdr:rowOff>47625</xdr:rowOff>
    </xdr:from>
    <xdr:to>
      <xdr:col>9</xdr:col>
      <xdr:colOff>114300</xdr:colOff>
      <xdr:row>199</xdr:row>
      <xdr:rowOff>28575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953250" y="4572000"/>
          <a:ext cx="1533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Sélection Analogique ou Digital</a:t>
          </a:r>
        </a:p>
      </xdr:txBody>
    </xdr:sp>
    <xdr:clientData/>
  </xdr:twoCellAnchor>
  <xdr:twoCellAnchor>
    <xdr:from>
      <xdr:col>6</xdr:col>
      <xdr:colOff>1066800</xdr:colOff>
      <xdr:row>198</xdr:row>
      <xdr:rowOff>95250</xdr:rowOff>
    </xdr:from>
    <xdr:to>
      <xdr:col>6</xdr:col>
      <xdr:colOff>1066800</xdr:colOff>
      <xdr:row>202</xdr:row>
      <xdr:rowOff>9525</xdr:rowOff>
    </xdr:to>
    <xdr:sp>
      <xdr:nvSpPr>
        <xdr:cNvPr id="48" name="Line 48"/>
        <xdr:cNvSpPr>
          <a:spLocks/>
        </xdr:cNvSpPr>
      </xdr:nvSpPr>
      <xdr:spPr>
        <a:xfrm>
          <a:off x="6953250" y="457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1066800</xdr:colOff>
      <xdr:row>199</xdr:row>
      <xdr:rowOff>57150</xdr:rowOff>
    </xdr:from>
    <xdr:to>
      <xdr:col>9</xdr:col>
      <xdr:colOff>66675</xdr:colOff>
      <xdr:row>201</xdr:row>
      <xdr:rowOff>161925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6953250" y="4572000"/>
          <a:ext cx="1485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TRISIO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doit etre en concordance
pour permettre le contrôle de tension </a:t>
          </a:r>
        </a:p>
      </xdr:txBody>
    </xdr:sp>
    <xdr:clientData/>
  </xdr:twoCellAnchor>
  <xdr:twoCellAnchor>
    <xdr:from>
      <xdr:col>6</xdr:col>
      <xdr:colOff>952500</xdr:colOff>
      <xdr:row>165</xdr:row>
      <xdr:rowOff>9525</xdr:rowOff>
    </xdr:from>
    <xdr:to>
      <xdr:col>6</xdr:col>
      <xdr:colOff>933450</xdr:colOff>
      <xdr:row>165</xdr:row>
      <xdr:rowOff>9525</xdr:rowOff>
    </xdr:to>
    <xdr:sp>
      <xdr:nvSpPr>
        <xdr:cNvPr id="50" name="Line 50"/>
        <xdr:cNvSpPr>
          <a:spLocks/>
        </xdr:cNvSpPr>
      </xdr:nvSpPr>
      <xdr:spPr>
        <a:xfrm>
          <a:off x="6838950" y="457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295</xdr:row>
      <xdr:rowOff>38100</xdr:rowOff>
    </xdr:from>
    <xdr:to>
      <xdr:col>3</xdr:col>
      <xdr:colOff>171450</xdr:colOff>
      <xdr:row>297</xdr:row>
      <xdr:rowOff>171450</xdr:rowOff>
    </xdr:to>
    <xdr:sp>
      <xdr:nvSpPr>
        <xdr:cNvPr id="51" name="Line 51"/>
        <xdr:cNvSpPr>
          <a:spLocks/>
        </xdr:cNvSpPr>
      </xdr:nvSpPr>
      <xdr:spPr>
        <a:xfrm>
          <a:off x="3352800" y="9896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285</xdr:row>
      <xdr:rowOff>57150</xdr:rowOff>
    </xdr:from>
    <xdr:to>
      <xdr:col>2</xdr:col>
      <xdr:colOff>142875</xdr:colOff>
      <xdr:row>287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2562225" y="80676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12</xdr:row>
      <xdr:rowOff>133350</xdr:rowOff>
    </xdr:from>
    <xdr:to>
      <xdr:col>3</xdr:col>
      <xdr:colOff>647700</xdr:colOff>
      <xdr:row>14</xdr:row>
      <xdr:rowOff>19050</xdr:rowOff>
    </xdr:to>
    <xdr:sp macro="[1]!boole16F84">
      <xdr:nvSpPr>
        <xdr:cNvPr id="53" name="TextBox 53"/>
        <xdr:cNvSpPr txBox="1">
          <a:spLocks noChangeArrowheads="1"/>
        </xdr:cNvSpPr>
      </xdr:nvSpPr>
      <xdr:spPr>
        <a:xfrm>
          <a:off x="2466975" y="2324100"/>
          <a:ext cx="13620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Calcul de la CONFIG.</a:t>
          </a:r>
        </a:p>
      </xdr:txBody>
    </xdr:sp>
    <xdr:clientData/>
  </xdr:twoCellAnchor>
  <xdr:twoCellAnchor>
    <xdr:from>
      <xdr:col>14</xdr:col>
      <xdr:colOff>57150</xdr:colOff>
      <xdr:row>18</xdr:row>
      <xdr:rowOff>85725</xdr:rowOff>
    </xdr:from>
    <xdr:to>
      <xdr:col>14</xdr:col>
      <xdr:colOff>533400</xdr:colOff>
      <xdr:row>18</xdr:row>
      <xdr:rowOff>85725</xdr:rowOff>
    </xdr:to>
    <xdr:sp>
      <xdr:nvSpPr>
        <xdr:cNvPr id="54" name="Line 54"/>
        <xdr:cNvSpPr>
          <a:spLocks/>
        </xdr:cNvSpPr>
      </xdr:nvSpPr>
      <xdr:spPr>
        <a:xfrm>
          <a:off x="12696825" y="33337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1419225</xdr:colOff>
      <xdr:row>4</xdr:row>
      <xdr:rowOff>104775</xdr:rowOff>
    </xdr:from>
    <xdr:to>
      <xdr:col>2</xdr:col>
      <xdr:colOff>600075</xdr:colOff>
      <xdr:row>4</xdr:row>
      <xdr:rowOff>104775</xdr:rowOff>
    </xdr:to>
    <xdr:sp>
      <xdr:nvSpPr>
        <xdr:cNvPr id="55" name="Line 55"/>
        <xdr:cNvSpPr>
          <a:spLocks/>
        </xdr:cNvSpPr>
      </xdr:nvSpPr>
      <xdr:spPr>
        <a:xfrm>
          <a:off x="1419225" y="8763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1743075</xdr:colOff>
      <xdr:row>13</xdr:row>
      <xdr:rowOff>104775</xdr:rowOff>
    </xdr:from>
    <xdr:to>
      <xdr:col>1</xdr:col>
      <xdr:colOff>619125</xdr:colOff>
      <xdr:row>13</xdr:row>
      <xdr:rowOff>104775</xdr:rowOff>
    </xdr:to>
    <xdr:sp>
      <xdr:nvSpPr>
        <xdr:cNvPr id="56" name="Line 56"/>
        <xdr:cNvSpPr>
          <a:spLocks/>
        </xdr:cNvSpPr>
      </xdr:nvSpPr>
      <xdr:spPr>
        <a:xfrm flipV="1">
          <a:off x="1743075" y="24574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885825</xdr:colOff>
      <xdr:row>22</xdr:row>
      <xdr:rowOff>9525</xdr:rowOff>
    </xdr:from>
    <xdr:to>
      <xdr:col>0</xdr:col>
      <xdr:colOff>895350</xdr:colOff>
      <xdr:row>22</xdr:row>
      <xdr:rowOff>180975</xdr:rowOff>
    </xdr:to>
    <xdr:sp>
      <xdr:nvSpPr>
        <xdr:cNvPr id="57" name="Line 57"/>
        <xdr:cNvSpPr>
          <a:spLocks/>
        </xdr:cNvSpPr>
      </xdr:nvSpPr>
      <xdr:spPr>
        <a:xfrm flipH="1">
          <a:off x="885825" y="3771900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22</xdr:row>
      <xdr:rowOff>104775</xdr:rowOff>
    </xdr:from>
    <xdr:to>
      <xdr:col>3</xdr:col>
      <xdr:colOff>704850</xdr:colOff>
      <xdr:row>22</xdr:row>
      <xdr:rowOff>104775</xdr:rowOff>
    </xdr:to>
    <xdr:sp>
      <xdr:nvSpPr>
        <xdr:cNvPr id="58" name="Line 58"/>
        <xdr:cNvSpPr>
          <a:spLocks/>
        </xdr:cNvSpPr>
      </xdr:nvSpPr>
      <xdr:spPr>
        <a:xfrm>
          <a:off x="3457575" y="38671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5</xdr:row>
      <xdr:rowOff>9525</xdr:rowOff>
    </xdr:from>
    <xdr:to>
      <xdr:col>3</xdr:col>
      <xdr:colOff>419100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95725" y="9810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15</xdr:row>
      <xdr:rowOff>114300</xdr:rowOff>
    </xdr:from>
    <xdr:to>
      <xdr:col>4</xdr:col>
      <xdr:colOff>333375</xdr:colOff>
      <xdr:row>17</xdr:row>
      <xdr:rowOff>95250</xdr:rowOff>
    </xdr:to>
    <xdr:sp macro="[1]!boole">
      <xdr:nvSpPr>
        <xdr:cNvPr id="2" name="TextBox 2"/>
        <xdr:cNvSpPr txBox="1">
          <a:spLocks noChangeArrowheads="1"/>
        </xdr:cNvSpPr>
      </xdr:nvSpPr>
      <xdr:spPr>
        <a:xfrm>
          <a:off x="3038475" y="2724150"/>
          <a:ext cx="1885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calculer la CONFIGuration.
      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cliquer ici</a:t>
          </a:r>
        </a:p>
      </xdr:txBody>
    </xdr:sp>
    <xdr:clientData/>
  </xdr:twoCellAnchor>
  <xdr:twoCellAnchor>
    <xdr:from>
      <xdr:col>14</xdr:col>
      <xdr:colOff>190500</xdr:colOff>
      <xdr:row>28</xdr:row>
      <xdr:rowOff>123825</xdr:rowOff>
    </xdr:from>
    <xdr:to>
      <xdr:col>14</xdr:col>
      <xdr:colOff>666750</xdr:colOff>
      <xdr:row>28</xdr:row>
      <xdr:rowOff>123825</xdr:rowOff>
    </xdr:to>
    <xdr:sp>
      <xdr:nvSpPr>
        <xdr:cNvPr id="3" name="Line 3"/>
        <xdr:cNvSpPr>
          <a:spLocks/>
        </xdr:cNvSpPr>
      </xdr:nvSpPr>
      <xdr:spPr>
        <a:xfrm>
          <a:off x="12944475" y="49434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34</xdr:row>
      <xdr:rowOff>95250</xdr:rowOff>
    </xdr:from>
    <xdr:to>
      <xdr:col>3</xdr:col>
      <xdr:colOff>523875</xdr:colOff>
      <xdr:row>34</xdr:row>
      <xdr:rowOff>95250</xdr:rowOff>
    </xdr:to>
    <xdr:sp>
      <xdr:nvSpPr>
        <xdr:cNvPr id="4" name="Line 4"/>
        <xdr:cNvSpPr>
          <a:spLocks/>
        </xdr:cNvSpPr>
      </xdr:nvSpPr>
      <xdr:spPr>
        <a:xfrm>
          <a:off x="2019300" y="58102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1228725</xdr:colOff>
      <xdr:row>4</xdr:row>
      <xdr:rowOff>114300</xdr:rowOff>
    </xdr:from>
    <xdr:to>
      <xdr:col>1</xdr:col>
      <xdr:colOff>571500</xdr:colOff>
      <xdr:row>4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1228725" y="8858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1771650</xdr:colOff>
      <xdr:row>16</xdr:row>
      <xdr:rowOff>104775</xdr:rowOff>
    </xdr:from>
    <xdr:to>
      <xdr:col>2</xdr:col>
      <xdr:colOff>171450</xdr:colOff>
      <xdr:row>16</xdr:row>
      <xdr:rowOff>104775</xdr:rowOff>
    </xdr:to>
    <xdr:sp>
      <xdr:nvSpPr>
        <xdr:cNvPr id="6" name="Line 6"/>
        <xdr:cNvSpPr>
          <a:spLocks/>
        </xdr:cNvSpPr>
      </xdr:nvSpPr>
      <xdr:spPr>
        <a:xfrm flipV="1">
          <a:off x="1771650" y="28765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19</xdr:row>
      <xdr:rowOff>114300</xdr:rowOff>
    </xdr:from>
    <xdr:to>
      <xdr:col>1</xdr:col>
      <xdr:colOff>838200</xdr:colOff>
      <xdr:row>19</xdr:row>
      <xdr:rowOff>114300</xdr:rowOff>
    </xdr:to>
    <xdr:sp>
      <xdr:nvSpPr>
        <xdr:cNvPr id="7" name="Line 7"/>
        <xdr:cNvSpPr>
          <a:spLocks/>
        </xdr:cNvSpPr>
      </xdr:nvSpPr>
      <xdr:spPr>
        <a:xfrm>
          <a:off x="2295525" y="35147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21</xdr:row>
      <xdr:rowOff>123825</xdr:rowOff>
    </xdr:from>
    <xdr:to>
      <xdr:col>1</xdr:col>
      <xdr:colOff>819150</xdr:colOff>
      <xdr:row>21</xdr:row>
      <xdr:rowOff>123825</xdr:rowOff>
    </xdr:to>
    <xdr:sp>
      <xdr:nvSpPr>
        <xdr:cNvPr id="8" name="Line 8"/>
        <xdr:cNvSpPr>
          <a:spLocks/>
        </xdr:cNvSpPr>
      </xdr:nvSpPr>
      <xdr:spPr>
        <a:xfrm>
          <a:off x="2362200" y="3886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53</xdr:row>
      <xdr:rowOff>47625</xdr:rowOff>
    </xdr:from>
    <xdr:to>
      <xdr:col>3</xdr:col>
      <xdr:colOff>85725</xdr:colOff>
      <xdr:row>55</xdr:row>
      <xdr:rowOff>180975</xdr:rowOff>
    </xdr:to>
    <xdr:sp>
      <xdr:nvSpPr>
        <xdr:cNvPr id="9" name="Line 9"/>
        <xdr:cNvSpPr>
          <a:spLocks/>
        </xdr:cNvSpPr>
      </xdr:nvSpPr>
      <xdr:spPr>
        <a:xfrm>
          <a:off x="3562350" y="93440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43</xdr:row>
      <xdr:rowOff>57150</xdr:rowOff>
    </xdr:from>
    <xdr:to>
      <xdr:col>2</xdr:col>
      <xdr:colOff>142875</xdr:colOff>
      <xdr:row>45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2857500" y="75057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pa\Mes%20documents\Configuration%2012FXX%2016F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guration "/>
      <sheetName val="Registres"/>
      <sheetName val="conversion"/>
      <sheetName val="Configbis"/>
      <sheetName val="16F84"/>
      <sheetName val="16F628"/>
      <sheetName val="Infos"/>
    </sheetNames>
    <definedNames>
      <definedName name="boole"/>
      <definedName name="boole16F84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6"/>
  <sheetViews>
    <sheetView workbookViewId="0" topLeftCell="A1">
      <selection activeCell="B5" sqref="B5"/>
    </sheetView>
  </sheetViews>
  <sheetFormatPr defaultColWidth="11.421875" defaultRowHeight="12.75"/>
  <cols>
    <col min="1" max="1" width="20.8515625" style="0" customWidth="1"/>
    <col min="2" max="2" width="11.8515625" style="0" customWidth="1"/>
    <col min="4" max="4" width="5.7109375" style="0" customWidth="1"/>
    <col min="5" max="5" width="19.00390625" style="0" customWidth="1"/>
    <col min="6" max="6" width="4.28125" style="0" customWidth="1"/>
    <col min="7" max="7" width="24.421875" style="0" customWidth="1"/>
    <col min="8" max="8" width="13.7109375" style="0" customWidth="1"/>
    <col min="9" max="9" width="11.28125" style="0" customWidth="1"/>
    <col min="10" max="10" width="6.28125" style="0" customWidth="1"/>
    <col min="11" max="11" width="3.28125" style="0" customWidth="1"/>
    <col min="12" max="12" width="4.140625" style="0" customWidth="1"/>
    <col min="13" max="13" width="27.7109375" style="0" customWidth="1"/>
  </cols>
  <sheetData>
    <row r="1" ht="12.75">
      <c r="A1" s="1"/>
    </row>
    <row r="2" spans="1:5" ht="15.75">
      <c r="A2" s="1" t="s">
        <v>216</v>
      </c>
      <c r="E2" s="2" t="s">
        <v>0</v>
      </c>
    </row>
    <row r="3" ht="12.75">
      <c r="A3" s="3"/>
    </row>
    <row r="4" spans="1:2" ht="15.75">
      <c r="A4" s="2" t="s">
        <v>1</v>
      </c>
      <c r="B4" s="1"/>
    </row>
    <row r="5" spans="1:5" ht="12.75">
      <c r="A5" s="4"/>
      <c r="C5" s="4" t="s">
        <v>212</v>
      </c>
      <c r="E5" s="1"/>
    </row>
    <row r="6" spans="1:5" ht="12.75">
      <c r="A6" s="4"/>
      <c r="E6" s="1"/>
    </row>
    <row r="7" ht="13.5" thickBot="1"/>
    <row r="8" spans="1:6" ht="12.75">
      <c r="A8" t="s">
        <v>3</v>
      </c>
      <c r="D8" s="5">
        <v>0</v>
      </c>
      <c r="E8" t="str">
        <f>IF(D8=1,"_CP_ON","_CP_OFF")</f>
        <v>_CP_OFF</v>
      </c>
      <c r="F8" t="str">
        <f>IF(D8=1,"Protection totale","Pas de protection")</f>
        <v>Pas de protection</v>
      </c>
    </row>
    <row r="9" spans="1:6" ht="12.75">
      <c r="A9" t="s">
        <v>4</v>
      </c>
      <c r="D9" s="6">
        <v>0</v>
      </c>
      <c r="E9" t="str">
        <f>IF(D9=1,"_CPD_ON","_CPD_OFF")</f>
        <v>_CPD_OFF</v>
      </c>
      <c r="F9" t="str">
        <f>IF(D9=1,"EEprom protégée","Pas de protection")</f>
        <v>Pas de protection</v>
      </c>
    </row>
    <row r="10" spans="1:6" ht="12.75">
      <c r="A10" t="s">
        <v>5</v>
      </c>
      <c r="D10" s="6">
        <v>0</v>
      </c>
      <c r="E10" t="str">
        <f>IF(D10=1,"_BODEN_ON","_BODEN_OFF")</f>
        <v>_BODEN_OFF</v>
      </c>
      <c r="F10" t="str">
        <f>IF(D10=1,"Valide PWRTE_ON Reset tension en service","Pas de reset tension")</f>
        <v>Pas de reset tension</v>
      </c>
    </row>
    <row r="11" spans="1:6" ht="12.75">
      <c r="A11" t="s">
        <v>6</v>
      </c>
      <c r="D11" s="6">
        <v>0</v>
      </c>
      <c r="E11" t="str">
        <f>IF(D11=1,"_MCLRE_ON","_MCLRE_OFF")</f>
        <v>_MCLRE_OFF</v>
      </c>
      <c r="F11" t="str">
        <f>IF(D11=1,"GP3/MCLR est utilisé pour le RESET","GP3/MCLR est utilisé comme entree sortie")</f>
        <v>GP3/MCLR est utilisé comme entree sortie</v>
      </c>
    </row>
    <row r="12" spans="1:6" ht="12.75">
      <c r="A12" t="s">
        <v>7</v>
      </c>
      <c r="D12" s="6">
        <v>0</v>
      </c>
      <c r="E12" t="str">
        <f>IF(D12=1,"_PWRTE_ON","_PWRTE_OFF")</f>
        <v>_PWRTE_OFF</v>
      </c>
      <c r="F12" t="str">
        <f>IF(D12=1,"Demarrage rapide","Demarrage temporisé")</f>
        <v>Demarrage temporisé</v>
      </c>
    </row>
    <row r="13" spans="1:6" ht="12.75">
      <c r="A13" t="s">
        <v>8</v>
      </c>
      <c r="D13" s="6">
        <v>0</v>
      </c>
      <c r="E13" t="str">
        <f>IF(D13=1,"_WDT_ON","_WDT_OFF")</f>
        <v>_WDT_OFF</v>
      </c>
      <c r="F13" t="str">
        <f>IF(D13=1,"Watchdog en service","Watchdog hors service")</f>
        <v>Watchdog hors service</v>
      </c>
    </row>
    <row r="14" spans="1:5" ht="13.5" thickBot="1">
      <c r="A14" t="s">
        <v>9</v>
      </c>
      <c r="D14" s="7">
        <v>0</v>
      </c>
      <c r="E14" t="str">
        <f>IF(D14=0,G15,IF(D14=F16,G16,IF(D14=F17,G17,IF(D14=F18,G18,IF(D14=F19,G19,IF(D14=F20,G20,IF(D14=F21,G21,IF(D14=F22,G22))))))))</f>
        <v>_INTRC_OSC_NOCLKOUT</v>
      </c>
    </row>
    <row r="15" spans="6:9" ht="12.75">
      <c r="F15" s="8">
        <v>0</v>
      </c>
      <c r="G15" t="s">
        <v>10</v>
      </c>
      <c r="I15" t="s">
        <v>11</v>
      </c>
    </row>
    <row r="16" spans="6:9" ht="12.75">
      <c r="F16" s="8">
        <v>1</v>
      </c>
      <c r="G16" t="s">
        <v>12</v>
      </c>
      <c r="I16" t="s">
        <v>13</v>
      </c>
    </row>
    <row r="17" spans="6:9" ht="12.75">
      <c r="F17" s="8">
        <v>2</v>
      </c>
      <c r="G17" t="s">
        <v>14</v>
      </c>
      <c r="I17" t="s">
        <v>15</v>
      </c>
    </row>
    <row r="18" spans="6:9" ht="12.75">
      <c r="F18" s="8">
        <v>3</v>
      </c>
      <c r="G18" t="s">
        <v>16</v>
      </c>
      <c r="I18" t="s">
        <v>17</v>
      </c>
    </row>
    <row r="19" spans="6:9" ht="12.75">
      <c r="F19" s="8">
        <v>4</v>
      </c>
      <c r="G19" t="s">
        <v>18</v>
      </c>
      <c r="I19" t="s">
        <v>19</v>
      </c>
    </row>
    <row r="20" spans="6:9" ht="12.75">
      <c r="F20" s="8">
        <v>5</v>
      </c>
      <c r="G20" t="s">
        <v>20</v>
      </c>
      <c r="I20" t="s">
        <v>21</v>
      </c>
    </row>
    <row r="21" spans="6:9" ht="12.75">
      <c r="F21" s="8">
        <v>6</v>
      </c>
      <c r="G21" t="s">
        <v>22</v>
      </c>
      <c r="I21" t="s">
        <v>23</v>
      </c>
    </row>
    <row r="22" spans="6:9" ht="12.75">
      <c r="F22" s="8">
        <v>7</v>
      </c>
      <c r="G22" t="s">
        <v>24</v>
      </c>
      <c r="I22" t="s">
        <v>25</v>
      </c>
    </row>
    <row r="24" spans="1:2" ht="15.75">
      <c r="A24" s="2" t="s">
        <v>26</v>
      </c>
      <c r="B24" t="str">
        <f>"__CONFIG    "&amp;E8&amp;" &amp; "&amp;E9&amp;" &amp; "&amp;E10&amp;" &amp; "&amp;E11&amp;" &amp; "&amp;E12&amp;" &amp; "&amp;E13&amp;" &amp; "&amp;E14</f>
        <v>__CONFIG    _CP_OFF &amp; _CPD_OFF &amp; _BODEN_OFF &amp; _MCLRE_OFF &amp; _PWRTE_OFF &amp; _WDT_OFF &amp; _INTRC_OSC_NOCLKOUT</v>
      </c>
    </row>
    <row r="27" spans="1:13" ht="12.7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/>
    </row>
    <row r="28" spans="1:13" ht="15.75">
      <c r="A28" s="2" t="s">
        <v>27</v>
      </c>
      <c r="B28" s="12"/>
      <c r="C28" s="12"/>
      <c r="D28" s="12"/>
      <c r="E28" s="13" t="s">
        <v>2</v>
      </c>
      <c r="F28" s="13"/>
      <c r="G28" s="12"/>
      <c r="H28" s="12"/>
      <c r="I28" s="12"/>
      <c r="J28" s="12"/>
      <c r="K28" s="12"/>
      <c r="L28" s="12"/>
      <c r="M28" s="14"/>
    </row>
    <row r="29" spans="1:13" ht="12.75">
      <c r="A29" s="15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4"/>
    </row>
    <row r="30" spans="1:13" ht="12.75">
      <c r="A30" s="15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4"/>
    </row>
    <row r="31" spans="1:13" ht="12.75">
      <c r="A31" s="15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4"/>
    </row>
    <row r="32" spans="1:13" ht="12.75">
      <c r="A32" s="15"/>
      <c r="B32" s="12"/>
      <c r="C32" s="16" t="s">
        <v>28</v>
      </c>
      <c r="D32" s="13" t="s">
        <v>29</v>
      </c>
      <c r="E32" s="12"/>
      <c r="F32" s="12"/>
      <c r="G32" s="12"/>
      <c r="H32" s="12"/>
      <c r="I32" s="12"/>
      <c r="J32" s="12"/>
      <c r="K32" s="12"/>
      <c r="L32" s="12"/>
      <c r="M32" s="14"/>
    </row>
    <row r="33" spans="1:13" ht="13.5" thickBot="1">
      <c r="A33" s="15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4"/>
    </row>
    <row r="34" spans="1:13" ht="15.75">
      <c r="A34" s="15" t="s">
        <v>30</v>
      </c>
      <c r="B34" s="12"/>
      <c r="C34" s="12">
        <v>0.065536</v>
      </c>
      <c r="D34" s="12" t="s">
        <v>31</v>
      </c>
      <c r="E34" s="12" t="s">
        <v>32</v>
      </c>
      <c r="F34" s="17">
        <v>1</v>
      </c>
      <c r="G34" s="12" t="str">
        <f>IF(F34=0,"Resistance Pull-Up activées","Resistance Pull-Up désactivées")</f>
        <v>Resistance Pull-Up désactivées</v>
      </c>
      <c r="H34" s="12"/>
      <c r="I34" s="12"/>
      <c r="J34" s="12"/>
      <c r="K34" s="12"/>
      <c r="L34" s="12"/>
      <c r="M34" s="14"/>
    </row>
    <row r="35" spans="1:13" ht="16.5" thickBot="1">
      <c r="A35" t="s">
        <v>33</v>
      </c>
      <c r="B35" s="12"/>
      <c r="C35" s="12"/>
      <c r="D35" s="12" t="s">
        <v>34</v>
      </c>
      <c r="E35" s="12" t="s">
        <v>35</v>
      </c>
      <c r="F35" s="18">
        <v>0</v>
      </c>
      <c r="G35" s="19" t="str">
        <f>IF(F35=0,"Intérruption sur front Descendant de GP2","Intérruption sur front Montant de GP2")</f>
        <v>Intérruption sur front Descendant de GP2</v>
      </c>
      <c r="H35" s="12"/>
      <c r="I35" s="12"/>
      <c r="J35" s="12"/>
      <c r="K35" s="12"/>
      <c r="L35" s="12"/>
      <c r="M35" s="14"/>
    </row>
    <row r="36" spans="1:13" ht="15.75">
      <c r="A36" s="20">
        <v>0.000256</v>
      </c>
      <c r="B36" s="12" t="s">
        <v>36</v>
      </c>
      <c r="C36" s="12"/>
      <c r="D36" s="21" t="s">
        <v>37</v>
      </c>
      <c r="E36" s="12" t="s">
        <v>38</v>
      </c>
      <c r="F36" s="22">
        <v>0</v>
      </c>
      <c r="G36" s="19" t="str">
        <f>IF(F36=0,"Timer 0 synchronisé par Horloge-interne","Timer 0 synchronisé par Horloge externe GP2")</f>
        <v>Timer 0 synchronisé par Horloge-interne</v>
      </c>
      <c r="H36" s="12"/>
      <c r="I36" s="12"/>
      <c r="J36" s="12"/>
      <c r="K36" s="12"/>
      <c r="L36" s="12"/>
      <c r="M36" s="14"/>
    </row>
    <row r="37" spans="1:13" ht="16.5" thickBot="1">
      <c r="A37" s="15" t="s">
        <v>39</v>
      </c>
      <c r="B37" s="12"/>
      <c r="C37" s="12"/>
      <c r="D37" s="12" t="s">
        <v>40</v>
      </c>
      <c r="E37" s="12" t="s">
        <v>41</v>
      </c>
      <c r="F37" s="23">
        <v>0</v>
      </c>
      <c r="G37" s="19" t="str">
        <f>IF(F37=0,"Timer 0 synchronisé sur Front-Montant GP2","Timer 0 synchronisé sur Front-Descendant GP2")</f>
        <v>Timer 0 synchronisé sur Front-Montant GP2</v>
      </c>
      <c r="H37" s="12"/>
      <c r="I37" s="12"/>
      <c r="J37" s="12"/>
      <c r="K37" s="12"/>
      <c r="L37" s="24" t="s">
        <v>42</v>
      </c>
      <c r="M37" s="14"/>
    </row>
    <row r="38" spans="1:13" ht="16.5" thickBot="1">
      <c r="A38" s="15" t="s">
        <v>43</v>
      </c>
      <c r="B38" s="12"/>
      <c r="C38" s="12"/>
      <c r="D38" s="12" t="s">
        <v>44</v>
      </c>
      <c r="E38" s="12" t="s">
        <v>45</v>
      </c>
      <c r="F38" s="25">
        <v>0</v>
      </c>
      <c r="G38" s="19" t="str">
        <f>IF(F38=0,"Prédiviseur surTimer 0 ","Prédiviseur sur Watchdog")</f>
        <v>Prédiviseur surTimer 0 </v>
      </c>
      <c r="H38" s="12"/>
      <c r="I38" s="12"/>
      <c r="J38" s="26">
        <f>IF(F38=1,2,1)</f>
        <v>1</v>
      </c>
      <c r="K38" s="12"/>
      <c r="L38" s="12"/>
      <c r="M38" s="14"/>
    </row>
    <row r="39" spans="1:13" ht="15.75">
      <c r="A39" s="27">
        <f>A36/H39</f>
        <v>0.001024</v>
      </c>
      <c r="B39" s="12" t="s">
        <v>36</v>
      </c>
      <c r="C39" s="12"/>
      <c r="D39" s="12" t="s">
        <v>46</v>
      </c>
      <c r="E39" s="12" t="s">
        <v>47</v>
      </c>
      <c r="F39" s="28">
        <v>0</v>
      </c>
      <c r="G39" s="29" t="s">
        <v>48</v>
      </c>
      <c r="H39" s="30">
        <f>(J38/J41/J40/J39)/2</f>
        <v>0.25</v>
      </c>
      <c r="I39" s="12"/>
      <c r="J39" s="26">
        <f>IF(F39=0,1,16)</f>
        <v>1</v>
      </c>
      <c r="K39" s="12"/>
      <c r="L39" s="12"/>
      <c r="M39" s="14"/>
    </row>
    <row r="40" spans="1:13" ht="15.75">
      <c r="A40" s="15"/>
      <c r="B40" s="12"/>
      <c r="C40" s="12"/>
      <c r="D40" s="12" t="s">
        <v>49</v>
      </c>
      <c r="E40" s="12" t="s">
        <v>50</v>
      </c>
      <c r="F40" s="28">
        <v>0</v>
      </c>
      <c r="G40" s="16" t="s">
        <v>51</v>
      </c>
      <c r="H40" s="31" t="s">
        <v>52</v>
      </c>
      <c r="I40" s="12"/>
      <c r="J40" s="26">
        <f>IF(F40=0,1,4)</f>
        <v>1</v>
      </c>
      <c r="K40" s="12"/>
      <c r="L40" s="32"/>
      <c r="M40" s="14"/>
    </row>
    <row r="41" spans="1:13" ht="16.5" thickBot="1">
      <c r="A41" s="15"/>
      <c r="B41" s="12"/>
      <c r="C41" s="12"/>
      <c r="D41" s="12" t="s">
        <v>53</v>
      </c>
      <c r="E41" s="12" t="s">
        <v>54</v>
      </c>
      <c r="F41" s="33">
        <v>1</v>
      </c>
      <c r="G41" s="12"/>
      <c r="H41" s="34">
        <f>H39</f>
        <v>0.25</v>
      </c>
      <c r="I41" s="16"/>
      <c r="J41" s="26">
        <f>IF(F41=0,1,2)</f>
        <v>2</v>
      </c>
      <c r="K41" s="12"/>
      <c r="L41" s="12"/>
      <c r="M41" s="14"/>
    </row>
    <row r="42" spans="1:13" ht="15.75">
      <c r="A42" s="15"/>
      <c r="B42" s="12"/>
      <c r="C42" s="12"/>
      <c r="D42" s="12"/>
      <c r="E42" s="12"/>
      <c r="F42" s="35"/>
      <c r="G42" s="12"/>
      <c r="I42" s="36"/>
      <c r="J42" s="12"/>
      <c r="K42" s="12"/>
      <c r="L42" s="12"/>
      <c r="M42" s="14"/>
    </row>
    <row r="43" spans="1:13" ht="15.75">
      <c r="A43" s="42" t="s">
        <v>214</v>
      </c>
      <c r="B43" s="12"/>
      <c r="C43" s="12"/>
      <c r="D43" s="13" t="s">
        <v>55</v>
      </c>
      <c r="E43" s="12"/>
      <c r="F43" s="35"/>
      <c r="G43" s="37" t="str">
        <f>"  b'"&amp;F34&amp;F35&amp;F36&amp;F37&amp;F38&amp;F39&amp;F40&amp;F41&amp;"'"</f>
        <v>  b'10000001'</v>
      </c>
      <c r="H43" s="4" t="s">
        <v>56</v>
      </c>
      <c r="I43" s="4" t="str">
        <f>"  %"&amp;F34&amp;F35&amp;F36&amp;F37&amp;F38&amp;F39&amp;F40&amp;F41</f>
        <v>  %10000001</v>
      </c>
      <c r="J43" s="12"/>
      <c r="K43" s="12"/>
      <c r="L43" s="12"/>
      <c r="M43" s="14"/>
    </row>
    <row r="44" spans="1:13" ht="12.75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40"/>
    </row>
    <row r="45" spans="1:13" ht="12.75">
      <c r="A45" s="4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</row>
    <row r="46" spans="1:13" ht="12.75">
      <c r="A46" s="42" t="s">
        <v>57</v>
      </c>
      <c r="B46" s="12"/>
      <c r="C46" s="16" t="s">
        <v>58</v>
      </c>
      <c r="D46" s="13" t="s">
        <v>59</v>
      </c>
      <c r="E46" s="12"/>
      <c r="F46" s="12"/>
      <c r="G46" s="12"/>
      <c r="H46" s="12"/>
      <c r="I46" s="12"/>
      <c r="J46" s="12"/>
      <c r="K46" s="12"/>
      <c r="L46" s="12"/>
      <c r="M46" s="14"/>
    </row>
    <row r="47" spans="1:13" ht="13.5" thickBot="1">
      <c r="A47" s="15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4"/>
    </row>
    <row r="48" spans="1:13" ht="15.75">
      <c r="A48" s="15"/>
      <c r="B48" s="12"/>
      <c r="C48" s="12"/>
      <c r="D48" s="12" t="s">
        <v>60</v>
      </c>
      <c r="E48" s="12"/>
      <c r="F48" s="43">
        <v>0</v>
      </c>
      <c r="G48" s="19" t="s">
        <v>61</v>
      </c>
      <c r="H48" s="12"/>
      <c r="I48" s="12"/>
      <c r="J48" s="12"/>
      <c r="K48" s="12"/>
      <c r="L48" s="12"/>
      <c r="M48" s="14"/>
    </row>
    <row r="49" spans="1:13" ht="15.75">
      <c r="A49" s="15"/>
      <c r="B49" s="12"/>
      <c r="C49" s="12"/>
      <c r="D49" s="12" t="s">
        <v>34</v>
      </c>
      <c r="E49" s="12"/>
      <c r="F49" s="44">
        <v>0</v>
      </c>
      <c r="G49" s="19" t="s">
        <v>61</v>
      </c>
      <c r="H49" s="12"/>
      <c r="I49" s="12"/>
      <c r="J49" s="12"/>
      <c r="K49" s="12"/>
      <c r="L49" s="12"/>
      <c r="M49" s="14"/>
    </row>
    <row r="50" spans="1:13" ht="15.75">
      <c r="A50" s="15"/>
      <c r="B50" s="12"/>
      <c r="C50" s="12" t="s">
        <v>62</v>
      </c>
      <c r="D50" s="12" t="s">
        <v>37</v>
      </c>
      <c r="E50" s="12" t="s">
        <v>63</v>
      </c>
      <c r="F50" s="44">
        <v>1</v>
      </c>
      <c r="G50" s="19" t="str">
        <f>IF(F50=1," GP5 en entree "," GP5 en sortie")</f>
        <v> GP5 en entree </v>
      </c>
      <c r="H50" s="12"/>
      <c r="I50" s="12"/>
      <c r="J50" s="12"/>
      <c r="K50" s="12"/>
      <c r="L50" s="12"/>
      <c r="M50" s="14"/>
    </row>
    <row r="51" spans="1:13" ht="15.75">
      <c r="A51" s="15"/>
      <c r="B51" s="12"/>
      <c r="C51" s="12" t="s">
        <v>64</v>
      </c>
      <c r="D51" s="12" t="s">
        <v>40</v>
      </c>
      <c r="E51" s="12" t="s">
        <v>65</v>
      </c>
      <c r="F51" s="44">
        <v>1</v>
      </c>
      <c r="G51" s="19" t="str">
        <f>IF(F51=1," GP4 en entree "," GP4 en sortie")</f>
        <v> GP4 en entree </v>
      </c>
      <c r="H51" s="12"/>
      <c r="I51" s="12"/>
      <c r="J51" s="12"/>
      <c r="K51" s="12"/>
      <c r="L51" s="12"/>
      <c r="M51" s="14"/>
    </row>
    <row r="52" spans="1:13" ht="15.75">
      <c r="A52" s="15"/>
      <c r="B52" s="12"/>
      <c r="C52" s="32" t="s">
        <v>66</v>
      </c>
      <c r="D52" s="12" t="s">
        <v>44</v>
      </c>
      <c r="E52" s="12"/>
      <c r="F52" s="69">
        <v>1</v>
      </c>
      <c r="G52" s="45" t="s">
        <v>67</v>
      </c>
      <c r="H52" s="12"/>
      <c r="I52" s="12"/>
      <c r="J52" s="12"/>
      <c r="K52" s="12"/>
      <c r="L52" s="12"/>
      <c r="M52" s="14"/>
    </row>
    <row r="53" spans="1:13" ht="15.75">
      <c r="A53" s="15"/>
      <c r="B53" s="12"/>
      <c r="C53" s="12" t="s">
        <v>68</v>
      </c>
      <c r="D53" s="12" t="s">
        <v>46</v>
      </c>
      <c r="E53" s="12" t="s">
        <v>69</v>
      </c>
      <c r="F53" s="46">
        <v>0</v>
      </c>
      <c r="G53" s="19" t="str">
        <f>IF(F53=1," GP2 en entree "," GP2 en sortie")</f>
        <v> GP2 en sortie</v>
      </c>
      <c r="H53" s="12"/>
      <c r="I53" s="12"/>
      <c r="J53" s="12"/>
      <c r="K53" s="12"/>
      <c r="L53" s="12"/>
      <c r="M53" s="14"/>
    </row>
    <row r="54" spans="1:13" ht="15.75">
      <c r="A54" s="15"/>
      <c r="B54" s="12"/>
      <c r="C54" s="12" t="s">
        <v>70</v>
      </c>
      <c r="D54" s="12" t="s">
        <v>49</v>
      </c>
      <c r="E54" s="12" t="s">
        <v>71</v>
      </c>
      <c r="F54" s="46">
        <v>0</v>
      </c>
      <c r="G54" s="19" t="str">
        <f>IF(F54=1," GP1 en entree "," GP1 en sortie")</f>
        <v> GP1 en sortie</v>
      </c>
      <c r="H54" s="12"/>
      <c r="I54" s="12"/>
      <c r="J54" s="12"/>
      <c r="K54" s="12"/>
      <c r="L54" s="12"/>
      <c r="M54" s="14"/>
    </row>
    <row r="55" spans="1:13" ht="16.5" thickBot="1">
      <c r="A55" s="15"/>
      <c r="B55" s="12"/>
      <c r="C55" s="12" t="s">
        <v>72</v>
      </c>
      <c r="D55" s="12" t="s">
        <v>53</v>
      </c>
      <c r="E55" s="12" t="s">
        <v>73</v>
      </c>
      <c r="F55" s="47">
        <v>0</v>
      </c>
      <c r="G55" s="19" t="str">
        <f>IF(F55=1," GP0 en entree "," GP0 en sortie")</f>
        <v> GP0 en sortie</v>
      </c>
      <c r="H55" s="12"/>
      <c r="I55" s="12"/>
      <c r="J55" s="12"/>
      <c r="K55" s="12"/>
      <c r="L55" s="12"/>
      <c r="M55" s="14"/>
    </row>
    <row r="56" spans="1:13" ht="12.75">
      <c r="A56" s="15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4"/>
    </row>
    <row r="57" spans="1:13" ht="15.75">
      <c r="A57" s="15"/>
      <c r="B57" s="12"/>
      <c r="C57" s="12"/>
      <c r="D57" s="13" t="s">
        <v>74</v>
      </c>
      <c r="E57" s="12"/>
      <c r="F57" s="12"/>
      <c r="G57" s="37" t="str">
        <f>"  b'"&amp;F48&amp;F49&amp;F50&amp;F51&amp;F52&amp;F53&amp;F54&amp;F55&amp;"'"</f>
        <v>  b'00111000'</v>
      </c>
      <c r="H57" s="54" t="s">
        <v>75</v>
      </c>
      <c r="I57" s="13" t="str">
        <f>"  %"&amp;F48&amp;F49&amp;F50&amp;F51&amp;F52&amp;F53&amp;F54&amp;F55</f>
        <v>  %00111000</v>
      </c>
      <c r="J57" s="12"/>
      <c r="K57" s="12"/>
      <c r="L57" s="12"/>
      <c r="M57" s="14"/>
    </row>
    <row r="58" spans="1:13" ht="15.75">
      <c r="A58" s="15"/>
      <c r="B58" s="12"/>
      <c r="C58" s="12"/>
      <c r="D58" s="13"/>
      <c r="E58" s="12"/>
      <c r="F58" s="12"/>
      <c r="G58" s="37"/>
      <c r="H58" s="12"/>
      <c r="I58" s="12"/>
      <c r="J58" s="12"/>
      <c r="K58" s="12"/>
      <c r="L58" s="12"/>
      <c r="M58" s="14"/>
    </row>
    <row r="59" spans="1:13" ht="12.75">
      <c r="A59" s="15"/>
      <c r="B59" s="12"/>
      <c r="C59" s="16" t="s">
        <v>76</v>
      </c>
      <c r="D59" s="13" t="s">
        <v>77</v>
      </c>
      <c r="E59" s="12"/>
      <c r="F59" s="12"/>
      <c r="G59" s="12"/>
      <c r="H59" s="49" t="s">
        <v>78</v>
      </c>
      <c r="I59" s="49"/>
      <c r="J59" s="49"/>
      <c r="K59" s="49"/>
      <c r="L59" s="49"/>
      <c r="M59" s="50"/>
    </row>
    <row r="60" spans="1:13" ht="13.5" thickBot="1">
      <c r="A60" s="15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4"/>
    </row>
    <row r="61" spans="1:13" ht="15.75">
      <c r="A61" s="15"/>
      <c r="B61" s="12"/>
      <c r="C61" s="12"/>
      <c r="D61" s="12" t="s">
        <v>60</v>
      </c>
      <c r="E61" s="12"/>
      <c r="F61" s="43">
        <v>0</v>
      </c>
      <c r="G61" s="19" t="s">
        <v>61</v>
      </c>
      <c r="H61" s="12"/>
      <c r="I61" s="12"/>
      <c r="J61" s="12"/>
      <c r="K61" s="12"/>
      <c r="L61" s="12"/>
      <c r="M61" s="14"/>
    </row>
    <row r="62" spans="1:13" ht="15.75">
      <c r="A62" s="15"/>
      <c r="B62" s="12"/>
      <c r="C62" s="12"/>
      <c r="D62" s="12" t="s">
        <v>34</v>
      </c>
      <c r="E62" s="12"/>
      <c r="F62" s="44">
        <v>0</v>
      </c>
      <c r="G62" s="19" t="s">
        <v>61</v>
      </c>
      <c r="H62" s="12"/>
      <c r="I62" s="12"/>
      <c r="J62" s="12"/>
      <c r="K62" s="12"/>
      <c r="L62" s="12"/>
      <c r="M62" s="14"/>
    </row>
    <row r="63" spans="1:13" ht="15.75">
      <c r="A63" s="15"/>
      <c r="B63" s="12"/>
      <c r="C63" s="12"/>
      <c r="D63" s="12" t="s">
        <v>37</v>
      </c>
      <c r="E63" s="12" t="s">
        <v>63</v>
      </c>
      <c r="F63" s="51">
        <v>0</v>
      </c>
      <c r="G63" s="19" t="str">
        <f>IF(F63=0,"Résistance non cablé sur GP5","Résistance  cablé sur GP5")</f>
        <v>Résistance non cablé sur GP5</v>
      </c>
      <c r="H63" s="12"/>
      <c r="I63" s="12"/>
      <c r="J63" s="12"/>
      <c r="K63" s="12"/>
      <c r="L63" s="12"/>
      <c r="M63" s="14"/>
    </row>
    <row r="64" spans="1:13" ht="15.75">
      <c r="A64" s="15"/>
      <c r="B64" s="12"/>
      <c r="C64" s="12"/>
      <c r="D64" s="12" t="s">
        <v>40</v>
      </c>
      <c r="E64" s="12" t="s">
        <v>65</v>
      </c>
      <c r="F64" s="51">
        <v>0</v>
      </c>
      <c r="G64" s="19" t="str">
        <f>IF(F64=0,"Résistance non cablé sur GP4","Résistance  cablé sur GP4")</f>
        <v>Résistance non cablé sur GP4</v>
      </c>
      <c r="H64" s="12"/>
      <c r="I64" s="12"/>
      <c r="J64" s="12"/>
      <c r="K64" s="12"/>
      <c r="L64" s="12"/>
      <c r="M64" s="14"/>
    </row>
    <row r="65" spans="1:13" ht="15.75">
      <c r="A65" s="15"/>
      <c r="B65" s="12"/>
      <c r="C65" s="12"/>
      <c r="D65" s="12" t="s">
        <v>44</v>
      </c>
      <c r="E65" s="12"/>
      <c r="F65" s="44">
        <v>0</v>
      </c>
      <c r="G65" s="19" t="s">
        <v>61</v>
      </c>
      <c r="H65" s="12"/>
      <c r="I65" s="12"/>
      <c r="J65" s="12"/>
      <c r="K65" s="12"/>
      <c r="L65" s="12"/>
      <c r="M65" s="14"/>
    </row>
    <row r="66" spans="1:13" ht="15.75">
      <c r="A66" s="15"/>
      <c r="B66" s="12"/>
      <c r="C66" s="12"/>
      <c r="D66" s="12" t="s">
        <v>46</v>
      </c>
      <c r="E66" s="12" t="s">
        <v>69</v>
      </c>
      <c r="F66" s="52">
        <v>0</v>
      </c>
      <c r="G66" s="19" t="str">
        <f>IF(F66=0,"Résistance non cablé sur GP2","Résistance  cablé sur GP2")</f>
        <v>Résistance non cablé sur GP2</v>
      </c>
      <c r="H66" s="12"/>
      <c r="I66" s="12"/>
      <c r="J66" s="12"/>
      <c r="K66" s="12"/>
      <c r="L66" s="12"/>
      <c r="M66" s="14"/>
    </row>
    <row r="67" spans="1:13" ht="15.75">
      <c r="A67" s="15"/>
      <c r="B67" s="12"/>
      <c r="C67" s="12"/>
      <c r="D67" s="12" t="s">
        <v>49</v>
      </c>
      <c r="E67" s="12" t="s">
        <v>71</v>
      </c>
      <c r="F67" s="52">
        <v>0</v>
      </c>
      <c r="G67" s="19" t="str">
        <f>IF(F67=0,"Résistance non cablé sur GP1","Résistance  cablé sur GP1")</f>
        <v>Résistance non cablé sur GP1</v>
      </c>
      <c r="H67" s="12"/>
      <c r="I67" s="12"/>
      <c r="J67" s="12"/>
      <c r="K67" s="12"/>
      <c r="L67" s="12"/>
      <c r="M67" s="14"/>
    </row>
    <row r="68" spans="1:13" ht="16.5" thickBot="1">
      <c r="A68" s="15"/>
      <c r="B68" s="12"/>
      <c r="C68" s="12"/>
      <c r="D68" s="12" t="s">
        <v>53</v>
      </c>
      <c r="E68" s="12" t="s">
        <v>73</v>
      </c>
      <c r="F68" s="53">
        <v>0</v>
      </c>
      <c r="G68" s="19" t="str">
        <f>IF(F68=0,"Résistance non cablé sur GP0","Résistance  cablé sur GP0")</f>
        <v>Résistance non cablé sur GP0</v>
      </c>
      <c r="H68" s="12"/>
      <c r="I68" s="12"/>
      <c r="J68" s="12"/>
      <c r="K68" s="12"/>
      <c r="L68" s="12"/>
      <c r="M68" s="14"/>
    </row>
    <row r="69" spans="1:13" ht="12.75">
      <c r="A69" s="15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4"/>
    </row>
    <row r="70" spans="1:13" ht="15.75">
      <c r="A70" s="15"/>
      <c r="B70" s="12"/>
      <c r="C70" s="12"/>
      <c r="D70" s="13" t="s">
        <v>79</v>
      </c>
      <c r="E70" s="12"/>
      <c r="F70" s="12"/>
      <c r="G70" s="37" t="str">
        <f>"  b'"&amp;F61&amp;F62&amp;F63&amp;F64&amp;F65&amp;F66&amp;F67&amp;F68&amp;"'"</f>
        <v>  b'00000000'</v>
      </c>
      <c r="H70" s="54" t="s">
        <v>80</v>
      </c>
      <c r="I70" s="13" t="str">
        <f>"  %"&amp;F61&amp;F62&amp;F63&amp;F64&amp;F65&amp;F66&amp;F67&amp;F68</f>
        <v>  %00000000</v>
      </c>
      <c r="J70" s="12"/>
      <c r="K70" s="12"/>
      <c r="L70" s="12"/>
      <c r="M70" s="14"/>
    </row>
    <row r="71" spans="1:13" ht="15.75">
      <c r="A71" s="38"/>
      <c r="B71" s="39"/>
      <c r="C71" s="39"/>
      <c r="D71" s="55"/>
      <c r="E71" s="39"/>
      <c r="F71" s="39"/>
      <c r="G71" s="56"/>
      <c r="H71" s="39"/>
      <c r="I71" s="39"/>
      <c r="J71" s="39"/>
      <c r="K71" s="39"/>
      <c r="L71" s="39"/>
      <c r="M71" s="40"/>
    </row>
    <row r="72" spans="1:13" ht="16.5" thickBot="1">
      <c r="A72" s="41"/>
      <c r="B72" s="10"/>
      <c r="C72" s="10"/>
      <c r="D72" s="57"/>
      <c r="E72" s="10"/>
      <c r="F72" s="10"/>
      <c r="G72" s="58"/>
      <c r="H72" s="10"/>
      <c r="I72" s="10"/>
      <c r="J72" s="10"/>
      <c r="K72" s="10"/>
      <c r="L72" s="10"/>
      <c r="M72" s="11"/>
    </row>
    <row r="73" spans="1:13" ht="16.5" thickBot="1">
      <c r="A73" s="42" t="s">
        <v>81</v>
      </c>
      <c r="B73" s="12"/>
      <c r="C73" s="16" t="s">
        <v>82</v>
      </c>
      <c r="D73" s="12"/>
      <c r="E73" s="19" t="s">
        <v>213</v>
      </c>
      <c r="F73" s="59">
        <v>1</v>
      </c>
      <c r="G73" s="60" t="str">
        <f>IF(F73=F77,"11111100",IF(F73=F76,"00000000",IF(F73=F75,"10000000","erreur")))</f>
        <v>10000000</v>
      </c>
      <c r="H73" s="12"/>
      <c r="I73" s="12"/>
      <c r="J73" s="12"/>
      <c r="K73" s="12"/>
      <c r="L73" s="12"/>
      <c r="M73" s="14"/>
    </row>
    <row r="74" spans="1:13" ht="12.75">
      <c r="A74" s="15"/>
      <c r="B74" s="12"/>
      <c r="C74" s="12"/>
      <c r="D74" s="12"/>
      <c r="E74" s="60"/>
      <c r="F74" s="12"/>
      <c r="G74" s="12"/>
      <c r="H74" s="12"/>
      <c r="I74" s="12"/>
      <c r="J74" s="12"/>
      <c r="K74" s="12"/>
      <c r="L74" s="12"/>
      <c r="M74" s="14"/>
    </row>
    <row r="75" spans="1:13" ht="12.75">
      <c r="A75" s="15"/>
      <c r="B75" s="12"/>
      <c r="C75" s="12"/>
      <c r="D75" s="12"/>
      <c r="E75" s="13" t="s">
        <v>83</v>
      </c>
      <c r="F75" s="16">
        <v>1</v>
      </c>
      <c r="G75" s="12"/>
      <c r="H75" s="12"/>
      <c r="I75" s="12"/>
      <c r="J75" s="12"/>
      <c r="K75" s="12"/>
      <c r="L75" s="12"/>
      <c r="M75" s="14"/>
    </row>
    <row r="76" spans="1:13" ht="12.75">
      <c r="A76" s="15"/>
      <c r="B76" s="12"/>
      <c r="C76" s="12"/>
      <c r="D76" s="12"/>
      <c r="E76" s="13" t="s">
        <v>84</v>
      </c>
      <c r="F76" s="16">
        <v>2</v>
      </c>
      <c r="G76" s="12"/>
      <c r="H76" s="12"/>
      <c r="I76" s="12"/>
      <c r="J76" s="12"/>
      <c r="K76" s="12"/>
      <c r="L76" s="12"/>
      <c r="M76" s="14"/>
    </row>
    <row r="77" spans="1:13" ht="12.75">
      <c r="A77" s="15"/>
      <c r="B77" s="12"/>
      <c r="C77" s="12"/>
      <c r="D77" s="12"/>
      <c r="E77" s="13" t="s">
        <v>85</v>
      </c>
      <c r="F77" s="16">
        <v>3</v>
      </c>
      <c r="G77" s="12"/>
      <c r="H77" s="12"/>
      <c r="I77" s="12"/>
      <c r="J77" s="12"/>
      <c r="K77" s="12"/>
      <c r="L77" s="12"/>
      <c r="M77" s="14"/>
    </row>
    <row r="78" spans="1:13" ht="12.75">
      <c r="A78" s="15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4"/>
    </row>
    <row r="79" spans="1:13" ht="15.75">
      <c r="A79" s="15"/>
      <c r="B79" s="12"/>
      <c r="C79" s="12"/>
      <c r="D79" s="13" t="s">
        <v>86</v>
      </c>
      <c r="E79" s="12"/>
      <c r="F79" s="12"/>
      <c r="G79" s="37" t="str">
        <f>"  b'"&amp;G73&amp;"'"</f>
        <v>  b'10000000'</v>
      </c>
      <c r="H79" s="54" t="s">
        <v>87</v>
      </c>
      <c r="I79" s="13" t="str">
        <f>"  %"&amp;G73</f>
        <v>  %10000000</v>
      </c>
      <c r="J79" s="12"/>
      <c r="K79" s="12"/>
      <c r="L79" s="12"/>
      <c r="M79" s="14"/>
    </row>
    <row r="80" spans="1:13" ht="15.75">
      <c r="A80" s="38"/>
      <c r="B80" s="39"/>
      <c r="C80" s="39"/>
      <c r="D80" s="39"/>
      <c r="E80" s="39"/>
      <c r="F80" s="61"/>
      <c r="G80" s="39"/>
      <c r="H80" s="39"/>
      <c r="I80" s="39"/>
      <c r="J80" s="39"/>
      <c r="K80" s="39"/>
      <c r="L80" s="39"/>
      <c r="M80" s="40"/>
    </row>
    <row r="81" spans="1:13" ht="15.75">
      <c r="A81" s="41"/>
      <c r="B81" s="10"/>
      <c r="C81" s="10"/>
      <c r="D81" s="10"/>
      <c r="E81" s="10"/>
      <c r="F81" s="62"/>
      <c r="G81" s="10"/>
      <c r="H81" s="10"/>
      <c r="I81" s="10"/>
      <c r="J81" s="10"/>
      <c r="K81" s="10"/>
      <c r="L81" s="10"/>
      <c r="M81" s="11"/>
    </row>
    <row r="82" spans="1:13" ht="15.75">
      <c r="A82" s="42" t="s">
        <v>88</v>
      </c>
      <c r="B82" s="12"/>
      <c r="C82" s="12"/>
      <c r="D82" s="12"/>
      <c r="E82" s="12"/>
      <c r="F82" s="35"/>
      <c r="G82" s="12"/>
      <c r="H82" s="12"/>
      <c r="I82" s="12"/>
      <c r="J82" s="12"/>
      <c r="K82" s="12"/>
      <c r="L82" s="12"/>
      <c r="M82" s="14"/>
    </row>
    <row r="83" spans="1:13" ht="12.75">
      <c r="A83" s="15"/>
      <c r="B83" s="12"/>
      <c r="C83" s="13" t="s">
        <v>89</v>
      </c>
      <c r="D83" s="13" t="s">
        <v>90</v>
      </c>
      <c r="E83" s="12"/>
      <c r="F83" s="12"/>
      <c r="G83" s="12"/>
      <c r="H83" s="12"/>
      <c r="I83" s="12"/>
      <c r="J83" s="12"/>
      <c r="K83" s="12"/>
      <c r="L83" s="12"/>
      <c r="M83" s="14"/>
    </row>
    <row r="84" spans="1:13" ht="13.5" thickBot="1">
      <c r="A84" s="15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4"/>
    </row>
    <row r="85" spans="1:13" ht="15.75">
      <c r="A85" s="15"/>
      <c r="B85" s="12"/>
      <c r="C85" s="12"/>
      <c r="D85" s="12" t="s">
        <v>60</v>
      </c>
      <c r="E85" s="12" t="s">
        <v>91</v>
      </c>
      <c r="F85" s="63">
        <v>0</v>
      </c>
      <c r="G85" s="19" t="str">
        <f>IF(F85=0,"Interruption désactivées","Interruption activées")</f>
        <v>Interruption désactivées</v>
      </c>
      <c r="H85" s="12"/>
      <c r="I85" s="12"/>
      <c r="J85" s="12"/>
      <c r="K85" s="12"/>
      <c r="L85" s="12"/>
      <c r="M85" s="14"/>
    </row>
    <row r="86" spans="1:13" ht="15.75">
      <c r="A86" s="15"/>
      <c r="B86" s="12"/>
      <c r="C86" s="12"/>
      <c r="D86" s="12" t="s">
        <v>34</v>
      </c>
      <c r="E86" s="12" t="s">
        <v>92</v>
      </c>
      <c r="F86" s="64">
        <v>0</v>
      </c>
      <c r="G86" s="19" t="str">
        <f>IF(F86=0,"Interruption PERIPHERIQUES Désactivées","InterruptionPERIPHERIQUES activées")</f>
        <v>Interruption PERIPHERIQUES Désactivées</v>
      </c>
      <c r="H86" s="12"/>
      <c r="I86" s="12"/>
      <c r="J86" s="12"/>
      <c r="K86" s="12"/>
      <c r="L86" s="12"/>
      <c r="M86" s="14"/>
    </row>
    <row r="87" spans="1:13" ht="15.75">
      <c r="A87" s="15"/>
      <c r="B87" s="12"/>
      <c r="C87" s="12"/>
      <c r="D87" s="12" t="s">
        <v>37</v>
      </c>
      <c r="E87" s="12" t="s">
        <v>93</v>
      </c>
      <c r="F87" s="44">
        <v>0</v>
      </c>
      <c r="G87" s="19" t="str">
        <f>IF(F87=0,"Interruption TMR0 Désactivées","Interruption TMR0 activées")</f>
        <v>Interruption TMR0 Désactivées</v>
      </c>
      <c r="H87" s="12"/>
      <c r="I87" s="12"/>
      <c r="J87" s="12"/>
      <c r="K87" s="12"/>
      <c r="L87" s="12"/>
      <c r="M87" s="14"/>
    </row>
    <row r="88" spans="1:13" ht="15.75">
      <c r="A88" s="15"/>
      <c r="B88" s="12"/>
      <c r="C88" s="12"/>
      <c r="D88" s="12" t="s">
        <v>40</v>
      </c>
      <c r="E88" s="12" t="s">
        <v>94</v>
      </c>
      <c r="F88" s="44">
        <v>0</v>
      </c>
      <c r="G88" s="19" t="str">
        <f>IF(F88=0,"Interruption GP2 /INTDésactivées","Interruption GP2/INT activées")</f>
        <v>Interruption GP2 /INTDésactivées</v>
      </c>
      <c r="H88" s="12"/>
      <c r="I88" s="12"/>
      <c r="J88" s="12"/>
      <c r="K88" s="12"/>
      <c r="L88" s="12"/>
      <c r="M88" s="14"/>
    </row>
    <row r="89" spans="1:13" ht="15.75">
      <c r="A89" s="15"/>
      <c r="B89" s="12"/>
      <c r="C89" s="12"/>
      <c r="D89" s="12" t="s">
        <v>44</v>
      </c>
      <c r="E89" s="12" t="s">
        <v>95</v>
      </c>
      <c r="F89" s="28">
        <v>0</v>
      </c>
      <c r="G89" s="19" t="str">
        <f>IF(F89=0,"Interruption GPIO Désactivées","Interruption GPIO activées")</f>
        <v>Interruption GPIO Désactivées</v>
      </c>
      <c r="H89" s="12"/>
      <c r="I89" s="12"/>
      <c r="J89" s="12"/>
      <c r="K89" s="12"/>
      <c r="L89" s="12"/>
      <c r="M89" s="14"/>
    </row>
    <row r="90" spans="1:13" ht="15.75">
      <c r="A90" s="15"/>
      <c r="B90" s="12"/>
      <c r="C90" s="12"/>
      <c r="D90" s="12" t="s">
        <v>46</v>
      </c>
      <c r="E90" s="12" t="s">
        <v>96</v>
      </c>
      <c r="F90" s="65">
        <v>0</v>
      </c>
      <c r="G90" s="32" t="s">
        <v>97</v>
      </c>
      <c r="H90" s="12"/>
      <c r="I90" s="12"/>
      <c r="J90" s="12" t="s">
        <v>98</v>
      </c>
      <c r="K90" s="12"/>
      <c r="L90" s="12"/>
      <c r="M90" s="14"/>
    </row>
    <row r="91" spans="1:13" ht="15.75">
      <c r="A91" s="15"/>
      <c r="B91" s="12"/>
      <c r="C91" s="12"/>
      <c r="D91" s="12" t="s">
        <v>49</v>
      </c>
      <c r="E91" s="12" t="s">
        <v>99</v>
      </c>
      <c r="F91" s="65">
        <v>0</v>
      </c>
      <c r="G91" s="32" t="s">
        <v>100</v>
      </c>
      <c r="H91" s="12"/>
      <c r="I91" s="12"/>
      <c r="J91" s="12" t="s">
        <v>98</v>
      </c>
      <c r="K91" s="12"/>
      <c r="L91" s="12"/>
      <c r="M91" s="14"/>
    </row>
    <row r="92" spans="1:13" ht="16.5" thickBot="1">
      <c r="A92" s="15"/>
      <c r="B92" s="12"/>
      <c r="C92" s="12"/>
      <c r="D92" s="12" t="s">
        <v>53</v>
      </c>
      <c r="E92" s="12" t="s">
        <v>101</v>
      </c>
      <c r="F92" s="66">
        <v>0</v>
      </c>
      <c r="G92" s="32" t="s">
        <v>102</v>
      </c>
      <c r="H92" s="12"/>
      <c r="I92" s="12"/>
      <c r="J92" s="12" t="s">
        <v>98</v>
      </c>
      <c r="K92" s="12"/>
      <c r="L92" s="12"/>
      <c r="M92" s="14"/>
    </row>
    <row r="93" spans="1:13" ht="12.75">
      <c r="A93" s="15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4"/>
    </row>
    <row r="94" spans="1:13" ht="15.75">
      <c r="A94" s="15"/>
      <c r="B94" s="12"/>
      <c r="C94" s="12"/>
      <c r="D94" s="13" t="s">
        <v>103</v>
      </c>
      <c r="E94" s="12"/>
      <c r="F94" s="12"/>
      <c r="G94" s="37" t="str">
        <f>"  b'"&amp;F85&amp;F86&amp;F87&amp;F88&amp;F89&amp;F90&amp;F91&amp;F92&amp;"'"</f>
        <v>  b'00000000'</v>
      </c>
      <c r="H94" s="54" t="s">
        <v>104</v>
      </c>
      <c r="I94" s="67" t="str">
        <f>"  %"&amp;F85&amp;F86&amp;F87&amp;F88&amp;F89&amp;F90&amp;F91&amp;F92</f>
        <v>  %00000000</v>
      </c>
      <c r="J94" s="12"/>
      <c r="K94" s="12"/>
      <c r="L94" s="12"/>
      <c r="M94" s="14"/>
    </row>
    <row r="95" spans="1:13" ht="12.75">
      <c r="A95" s="15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4"/>
    </row>
    <row r="96" spans="1:13" ht="12.75">
      <c r="A96" s="15"/>
      <c r="B96" s="12"/>
      <c r="C96" s="16" t="s">
        <v>105</v>
      </c>
      <c r="D96" s="13" t="s">
        <v>106</v>
      </c>
      <c r="E96" s="12"/>
      <c r="F96" s="12"/>
      <c r="G96" s="12"/>
      <c r="H96" s="12"/>
      <c r="I96" s="12"/>
      <c r="J96" s="12"/>
      <c r="K96" s="12"/>
      <c r="L96" s="12"/>
      <c r="M96" s="14"/>
    </row>
    <row r="97" spans="1:13" ht="13.5" thickBot="1">
      <c r="A97" s="15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4"/>
    </row>
    <row r="98" spans="1:13" ht="15.75">
      <c r="A98" s="15"/>
      <c r="B98" s="12"/>
      <c r="C98" s="12"/>
      <c r="D98" s="12" t="s">
        <v>60</v>
      </c>
      <c r="E98" s="12"/>
      <c r="F98" s="68">
        <v>0</v>
      </c>
      <c r="G98" s="12" t="s">
        <v>61</v>
      </c>
      <c r="H98" s="12"/>
      <c r="I98" s="12"/>
      <c r="J98" s="12"/>
      <c r="K98" s="12"/>
      <c r="L98" s="12"/>
      <c r="M98" s="14"/>
    </row>
    <row r="99" spans="1:13" ht="15.75">
      <c r="A99" s="15"/>
      <c r="B99" s="12"/>
      <c r="C99" s="12"/>
      <c r="D99" s="12" t="s">
        <v>34</v>
      </c>
      <c r="E99" s="12"/>
      <c r="F99" s="69">
        <v>0</v>
      </c>
      <c r="G99" s="12" t="s">
        <v>61</v>
      </c>
      <c r="H99" s="12"/>
      <c r="I99" s="12"/>
      <c r="J99" s="12"/>
      <c r="K99" s="12"/>
      <c r="L99" s="12"/>
      <c r="M99" s="14"/>
    </row>
    <row r="100" spans="1:13" ht="15.75">
      <c r="A100" s="15"/>
      <c r="B100" s="12"/>
      <c r="C100" s="12"/>
      <c r="D100" s="12" t="s">
        <v>37</v>
      </c>
      <c r="E100" s="12" t="s">
        <v>107</v>
      </c>
      <c r="F100" s="28">
        <v>0</v>
      </c>
      <c r="G100" s="19" t="str">
        <f>IF(F100=0,"Interruption GP5 Désactivée","Interruption GP5 activée")</f>
        <v>Interruption GP5 Désactivée</v>
      </c>
      <c r="H100" s="12"/>
      <c r="I100" s="12"/>
      <c r="J100" s="12"/>
      <c r="K100" s="12"/>
      <c r="L100" s="12"/>
      <c r="M100" s="14"/>
    </row>
    <row r="101" spans="1:13" ht="15.75">
      <c r="A101" s="15"/>
      <c r="B101" s="12"/>
      <c r="C101" s="12"/>
      <c r="D101" s="12" t="s">
        <v>40</v>
      </c>
      <c r="E101" s="12" t="s">
        <v>108</v>
      </c>
      <c r="F101" s="28">
        <v>0</v>
      </c>
      <c r="G101" s="19" t="str">
        <f>IF(F101=0,"Interruption GP4 Désactivée","Interruption GP4 activée")</f>
        <v>Interruption GP4 Désactivée</v>
      </c>
      <c r="H101" s="12"/>
      <c r="I101" s="12"/>
      <c r="J101" s="12"/>
      <c r="K101" s="12"/>
      <c r="L101" s="12"/>
      <c r="M101" s="14"/>
    </row>
    <row r="102" spans="1:13" ht="15.75">
      <c r="A102" s="15"/>
      <c r="B102" s="12"/>
      <c r="C102" s="12"/>
      <c r="D102" s="12" t="s">
        <v>44</v>
      </c>
      <c r="E102" s="12" t="s">
        <v>109</v>
      </c>
      <c r="F102" s="28">
        <v>0</v>
      </c>
      <c r="G102" s="19" t="str">
        <f>IF(F102=0,"Interruption GP3 Désactivée","Interruption GP3 activée")</f>
        <v>Interruption GP3 Désactivée</v>
      </c>
      <c r="H102" s="12"/>
      <c r="I102" s="12"/>
      <c r="J102" s="12"/>
      <c r="K102" s="12"/>
      <c r="L102" s="12"/>
      <c r="M102" s="14"/>
    </row>
    <row r="103" spans="1:13" ht="15.75">
      <c r="A103" s="15"/>
      <c r="B103" s="12"/>
      <c r="C103" s="12"/>
      <c r="D103" s="12" t="s">
        <v>46</v>
      </c>
      <c r="E103" s="12" t="s">
        <v>110</v>
      </c>
      <c r="F103" s="28">
        <v>0</v>
      </c>
      <c r="G103" s="19" t="str">
        <f>IF(F103=0,"Interruption GP2 Désactivée","Interruption GP2 activée")</f>
        <v>Interruption GP2 Désactivée</v>
      </c>
      <c r="H103" s="12"/>
      <c r="I103" s="12"/>
      <c r="J103" s="12"/>
      <c r="K103" s="12"/>
      <c r="L103" s="12"/>
      <c r="M103" s="14"/>
    </row>
    <row r="104" spans="1:13" ht="15.75">
      <c r="A104" s="15"/>
      <c r="B104" s="12"/>
      <c r="C104" s="12"/>
      <c r="D104" s="12" t="s">
        <v>49</v>
      </c>
      <c r="E104" s="12" t="s">
        <v>111</v>
      </c>
      <c r="F104" s="28">
        <v>0</v>
      </c>
      <c r="G104" s="19" t="str">
        <f>IF(F104=0,"Interruption GP1 Désactivée","Interruption GP1 activée")</f>
        <v>Interruption GP1 Désactivée</v>
      </c>
      <c r="H104" s="12"/>
      <c r="I104" s="12"/>
      <c r="J104" s="12"/>
      <c r="K104" s="12"/>
      <c r="L104" s="12"/>
      <c r="M104" s="14"/>
    </row>
    <row r="105" spans="1:13" ht="16.5" thickBot="1">
      <c r="A105" s="15"/>
      <c r="B105" s="12"/>
      <c r="C105" s="12"/>
      <c r="D105" s="12" t="s">
        <v>53</v>
      </c>
      <c r="E105" s="12" t="s">
        <v>112</v>
      </c>
      <c r="F105" s="33">
        <v>0</v>
      </c>
      <c r="G105" s="19" t="str">
        <f>IF(F105=0,"Interruption GP0 Désactivée","Interruption GP0 activée")</f>
        <v>Interruption GP0 Désactivée</v>
      </c>
      <c r="H105" s="12"/>
      <c r="I105" s="12"/>
      <c r="J105" s="12"/>
      <c r="K105" s="12"/>
      <c r="L105" s="12"/>
      <c r="M105" s="14"/>
    </row>
    <row r="106" spans="1:13" ht="12.75">
      <c r="A106" s="15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4"/>
    </row>
    <row r="107" spans="1:13" ht="15.75">
      <c r="A107" s="15"/>
      <c r="B107" s="12"/>
      <c r="C107" s="12"/>
      <c r="D107" s="13" t="s">
        <v>113</v>
      </c>
      <c r="E107" s="12"/>
      <c r="F107" s="12"/>
      <c r="G107" s="37" t="str">
        <f>"  b'"&amp;F98&amp;F99&amp;F100&amp;F101&amp;F102&amp;F103&amp;F104&amp;F105&amp;"'"</f>
        <v>  b'00000000'</v>
      </c>
      <c r="H107" s="54" t="s">
        <v>114</v>
      </c>
      <c r="I107" s="13" t="str">
        <f>"  %"&amp;F98&amp;F99&amp;F100&amp;F101&amp;F102&amp;F103&amp;F104&amp;F105</f>
        <v>  %00000000</v>
      </c>
      <c r="J107" s="12"/>
      <c r="K107" s="12"/>
      <c r="L107" s="12"/>
      <c r="M107" s="14"/>
    </row>
    <row r="108" spans="1:13" ht="12.75">
      <c r="A108" s="15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4"/>
    </row>
    <row r="109" spans="1:13" ht="12.75">
      <c r="A109" s="15"/>
      <c r="B109" s="12"/>
      <c r="C109" s="16" t="s">
        <v>115</v>
      </c>
      <c r="D109" s="13" t="s">
        <v>116</v>
      </c>
      <c r="E109" s="12"/>
      <c r="F109" s="12"/>
      <c r="G109" s="12"/>
      <c r="H109" s="12"/>
      <c r="I109" s="12"/>
      <c r="J109" s="12"/>
      <c r="K109" s="12"/>
      <c r="L109" s="12"/>
      <c r="M109" s="14"/>
    </row>
    <row r="110" spans="1:13" ht="13.5" thickBot="1">
      <c r="A110" s="15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4"/>
    </row>
    <row r="111" spans="1:13" ht="15.75">
      <c r="A111" s="15"/>
      <c r="B111" s="12"/>
      <c r="C111" s="12"/>
      <c r="D111" s="12" t="s">
        <v>60</v>
      </c>
      <c r="E111" s="12" t="s">
        <v>117</v>
      </c>
      <c r="F111" s="111">
        <v>0</v>
      </c>
      <c r="G111" s="19" t="str">
        <f>IF(F111=0,"Interruption A/D Désactivée","Interruption A/D activée")</f>
        <v>Interruption A/D Désactivée</v>
      </c>
      <c r="H111" s="12"/>
      <c r="I111" s="12"/>
      <c r="J111" s="12"/>
      <c r="K111" s="12"/>
      <c r="L111" s="12"/>
      <c r="M111" s="14"/>
    </row>
    <row r="112" spans="1:13" ht="15.75">
      <c r="A112" s="15"/>
      <c r="B112" s="12"/>
      <c r="C112" s="12"/>
      <c r="D112" s="12" t="s">
        <v>34</v>
      </c>
      <c r="E112" s="12" t="s">
        <v>118</v>
      </c>
      <c r="F112" s="64">
        <v>0</v>
      </c>
      <c r="G112" s="19" t="str">
        <f>IF(F112=0,"Interruption écriture EEPROM Désactivée","Interruption écriture EEPROM activée")</f>
        <v>Interruption écriture EEPROM Désactivée</v>
      </c>
      <c r="H112" s="12"/>
      <c r="I112" s="12"/>
      <c r="J112" s="12"/>
      <c r="K112" s="12"/>
      <c r="L112" s="12"/>
      <c r="M112" s="14"/>
    </row>
    <row r="113" spans="1:13" ht="15.75">
      <c r="A113" s="15"/>
      <c r="B113" s="12"/>
      <c r="C113" s="12"/>
      <c r="D113" s="12" t="s">
        <v>37</v>
      </c>
      <c r="E113" s="12"/>
      <c r="F113" s="70">
        <v>0</v>
      </c>
      <c r="G113" s="12" t="s">
        <v>61</v>
      </c>
      <c r="H113" s="12"/>
      <c r="I113" s="12"/>
      <c r="J113" s="12"/>
      <c r="K113" s="12"/>
      <c r="L113" s="12"/>
      <c r="M113" s="14"/>
    </row>
    <row r="114" spans="1:13" ht="15.75">
      <c r="A114" s="15"/>
      <c r="B114" s="12"/>
      <c r="C114" s="12"/>
      <c r="D114" s="12" t="s">
        <v>40</v>
      </c>
      <c r="E114" s="12"/>
      <c r="F114" s="70">
        <v>0</v>
      </c>
      <c r="G114" s="12" t="s">
        <v>61</v>
      </c>
      <c r="H114" s="12"/>
      <c r="I114" s="12"/>
      <c r="J114" s="12"/>
      <c r="K114" s="12"/>
      <c r="L114" s="12"/>
      <c r="M114" s="14"/>
    </row>
    <row r="115" spans="1:13" ht="15.75">
      <c r="A115" s="15"/>
      <c r="B115" s="12"/>
      <c r="C115" s="12"/>
      <c r="D115" s="12" t="s">
        <v>44</v>
      </c>
      <c r="E115" s="12" t="s">
        <v>119</v>
      </c>
      <c r="F115" s="64">
        <v>0</v>
      </c>
      <c r="G115" s="19" t="str">
        <f>IF(F115=0,"Interruption comparateur  Désactivée","Interruption comparateur  activée")</f>
        <v>Interruption comparateur  Désactivée</v>
      </c>
      <c r="H115" s="12"/>
      <c r="I115" s="12"/>
      <c r="J115" s="12"/>
      <c r="K115" s="12"/>
      <c r="L115" s="12"/>
      <c r="M115" s="14"/>
    </row>
    <row r="116" spans="1:13" ht="15.75">
      <c r="A116" s="15"/>
      <c r="B116" s="12"/>
      <c r="C116" s="12"/>
      <c r="D116" s="12" t="s">
        <v>46</v>
      </c>
      <c r="E116" s="12"/>
      <c r="F116" s="70">
        <v>0</v>
      </c>
      <c r="G116" s="12" t="s">
        <v>61</v>
      </c>
      <c r="H116" s="12"/>
      <c r="I116" s="12"/>
      <c r="J116" s="12"/>
      <c r="K116" s="12"/>
      <c r="L116" s="12"/>
      <c r="M116" s="14"/>
    </row>
    <row r="117" spans="1:13" ht="15.75">
      <c r="A117" s="15"/>
      <c r="B117" s="12"/>
      <c r="C117" s="12"/>
      <c r="D117" s="12" t="s">
        <v>49</v>
      </c>
      <c r="E117" s="12"/>
      <c r="F117" s="70">
        <v>0</v>
      </c>
      <c r="G117" s="12" t="s">
        <v>61</v>
      </c>
      <c r="H117" s="12"/>
      <c r="I117" s="12"/>
      <c r="J117" s="12"/>
      <c r="K117" s="12"/>
      <c r="L117" s="12"/>
      <c r="M117" s="14"/>
    </row>
    <row r="118" spans="1:13" ht="16.5" thickBot="1">
      <c r="A118" s="15"/>
      <c r="B118" s="12"/>
      <c r="C118" s="12"/>
      <c r="D118" s="12" t="s">
        <v>53</v>
      </c>
      <c r="E118" s="12" t="s">
        <v>120</v>
      </c>
      <c r="F118" s="71">
        <v>0</v>
      </c>
      <c r="G118" s="19" t="str">
        <f>IF(F118=0,"Interruption débordement tmr1   Désactivée","Interruption débordement tmr1  activée")</f>
        <v>Interruption débordement tmr1   Désactivée</v>
      </c>
      <c r="H118" s="12"/>
      <c r="I118" s="12"/>
      <c r="J118" s="12"/>
      <c r="K118" s="12"/>
      <c r="L118" s="12"/>
      <c r="M118" s="14"/>
    </row>
    <row r="119" spans="1:13" ht="12.75">
      <c r="A119" s="15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4"/>
    </row>
    <row r="120" spans="1:13" ht="15.75">
      <c r="A120" s="15"/>
      <c r="B120" s="12"/>
      <c r="C120" s="12"/>
      <c r="D120" s="13" t="s">
        <v>121</v>
      </c>
      <c r="E120" s="12"/>
      <c r="F120" s="12"/>
      <c r="G120" s="37" t="str">
        <f>"  b'"&amp;F111&amp;F112&amp;F113&amp;F114&amp;F115&amp;F116&amp;F117&amp;F118&amp;"'"</f>
        <v>  b'00000000'</v>
      </c>
      <c r="H120" s="54" t="s">
        <v>122</v>
      </c>
      <c r="I120" s="13" t="str">
        <f>"  %"&amp;F111&amp;F112&amp;F113&amp;F114&amp;F115&amp;F116&amp;F117&amp;F118</f>
        <v>  %00000000</v>
      </c>
      <c r="J120" s="12"/>
      <c r="K120" s="12"/>
      <c r="L120" s="12"/>
      <c r="M120" s="14"/>
    </row>
    <row r="121" spans="1:13" ht="12.75">
      <c r="A121" s="15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4"/>
    </row>
    <row r="122" spans="1:13" ht="12.75">
      <c r="A122" s="15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4"/>
    </row>
    <row r="123" spans="1:16" ht="12.75">
      <c r="A123" s="41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1"/>
    </row>
    <row r="124" spans="1:16" ht="12.75">
      <c r="A124" s="42" t="s">
        <v>123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4"/>
    </row>
    <row r="125" spans="1:16" ht="12.75">
      <c r="A125" s="15"/>
      <c r="B125" s="12"/>
      <c r="C125" s="16" t="s">
        <v>124</v>
      </c>
      <c r="D125" s="13" t="s">
        <v>125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4"/>
    </row>
    <row r="126" spans="1:16" ht="12.75">
      <c r="A126" s="15"/>
      <c r="B126" s="12"/>
      <c r="C126" s="12"/>
      <c r="D126" s="13"/>
      <c r="E126" s="12" t="s">
        <v>126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4"/>
    </row>
    <row r="127" spans="1:16" ht="12.75">
      <c r="A127" s="15"/>
      <c r="B127" s="12"/>
      <c r="C127" s="12"/>
      <c r="D127" s="12"/>
      <c r="E127" s="19"/>
      <c r="F127" s="12"/>
      <c r="G127" s="60"/>
      <c r="H127" s="12"/>
      <c r="I127" s="12"/>
      <c r="J127" s="12"/>
      <c r="K127" s="12"/>
      <c r="L127" s="12"/>
      <c r="M127" s="12"/>
      <c r="N127" s="12"/>
      <c r="O127" s="12"/>
      <c r="P127" s="14"/>
    </row>
    <row r="128" spans="1:16" ht="12.75">
      <c r="A128" s="15"/>
      <c r="B128" s="12"/>
      <c r="C128" s="12"/>
      <c r="D128" s="12"/>
      <c r="E128" s="60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4"/>
    </row>
    <row r="129" spans="1:16" ht="13.5" thickBot="1">
      <c r="A129" s="15"/>
      <c r="B129" s="12"/>
      <c r="C129" s="12"/>
      <c r="D129" s="12"/>
      <c r="E129" s="60"/>
      <c r="F129" s="12"/>
      <c r="G129" s="12"/>
      <c r="H129" s="12"/>
      <c r="I129" s="12"/>
      <c r="J129" s="60" t="s">
        <v>44</v>
      </c>
      <c r="K129" s="60" t="s">
        <v>46</v>
      </c>
      <c r="L129" s="60" t="s">
        <v>49</v>
      </c>
      <c r="M129" s="12"/>
      <c r="N129" s="12"/>
      <c r="O129" s="12"/>
      <c r="P129" s="14"/>
    </row>
    <row r="130" spans="1:16" ht="15.75">
      <c r="A130" s="15"/>
      <c r="B130" s="12"/>
      <c r="C130" s="12"/>
      <c r="D130" s="12" t="s">
        <v>60</v>
      </c>
      <c r="E130" s="19"/>
      <c r="F130" s="72">
        <v>0</v>
      </c>
      <c r="G130" s="12" t="s">
        <v>127</v>
      </c>
      <c r="H130" s="12"/>
      <c r="I130" s="73">
        <v>1</v>
      </c>
      <c r="J130" s="16">
        <v>0</v>
      </c>
      <c r="K130" s="16">
        <v>0</v>
      </c>
      <c r="L130" s="16">
        <v>0</v>
      </c>
      <c r="M130" s="12" t="s">
        <v>128</v>
      </c>
      <c r="N130" s="12"/>
      <c r="O130" s="12"/>
      <c r="P130" s="14"/>
    </row>
    <row r="131" spans="1:16" ht="15.75">
      <c r="A131" s="15"/>
      <c r="B131" s="12"/>
      <c r="C131" s="12"/>
      <c r="D131" s="12" t="s">
        <v>34</v>
      </c>
      <c r="E131" s="19" t="s">
        <v>129</v>
      </c>
      <c r="F131" s="65">
        <v>0</v>
      </c>
      <c r="G131" s="12" t="s">
        <v>130</v>
      </c>
      <c r="H131" s="12"/>
      <c r="I131" s="74">
        <v>2</v>
      </c>
      <c r="J131" s="75">
        <v>1</v>
      </c>
      <c r="K131" s="75">
        <v>1</v>
      </c>
      <c r="L131" s="75">
        <v>1</v>
      </c>
      <c r="M131" s="76" t="s">
        <v>131</v>
      </c>
      <c r="N131" s="12"/>
      <c r="O131" s="12"/>
      <c r="P131" s="14"/>
    </row>
    <row r="132" spans="1:16" ht="15.75">
      <c r="A132" s="15"/>
      <c r="B132" s="12"/>
      <c r="C132" s="12"/>
      <c r="D132" s="12" t="s">
        <v>37</v>
      </c>
      <c r="E132" s="19"/>
      <c r="F132" s="69">
        <v>0</v>
      </c>
      <c r="G132" s="12" t="s">
        <v>127</v>
      </c>
      <c r="H132" s="12"/>
      <c r="I132" s="73">
        <v>3</v>
      </c>
      <c r="J132" s="16">
        <v>0</v>
      </c>
      <c r="K132" s="16">
        <v>1</v>
      </c>
      <c r="L132" s="16">
        <v>0</v>
      </c>
      <c r="M132" s="12" t="s">
        <v>132</v>
      </c>
      <c r="N132" s="12"/>
      <c r="O132" s="12"/>
      <c r="P132" s="14"/>
    </row>
    <row r="133" spans="1:16" ht="15.75">
      <c r="A133" s="15"/>
      <c r="B133" s="12"/>
      <c r="C133" s="12"/>
      <c r="D133" s="12" t="s">
        <v>40</v>
      </c>
      <c r="E133" s="19" t="s">
        <v>133</v>
      </c>
      <c r="F133" s="44">
        <v>0</v>
      </c>
      <c r="G133" s="19" t="str">
        <f>IF(F134=0,"NON Inversion du bit b6 COUT","Inversion du bit b6 COUT ")</f>
        <v>NON Inversion du bit b6 COUT</v>
      </c>
      <c r="H133" s="12"/>
      <c r="I133" s="74">
        <v>4</v>
      </c>
      <c r="J133" s="16">
        <v>0</v>
      </c>
      <c r="K133" s="16">
        <v>0</v>
      </c>
      <c r="L133" s="16">
        <v>1</v>
      </c>
      <c r="M133" s="12" t="s">
        <v>134</v>
      </c>
      <c r="N133" s="12"/>
      <c r="O133" s="12"/>
      <c r="P133" s="14"/>
    </row>
    <row r="134" spans="1:16" ht="15.75">
      <c r="A134" s="15"/>
      <c r="B134" s="12"/>
      <c r="C134" s="12"/>
      <c r="D134" s="12" t="s">
        <v>44</v>
      </c>
      <c r="E134" s="77" t="s">
        <v>135</v>
      </c>
      <c r="F134" s="44">
        <v>0</v>
      </c>
      <c r="G134" s="19" t="str">
        <f>IF(F133=0,"Vin-   connecte à CIN- GP1","Vin- connect2 à CIN+ GP0")</f>
        <v>Vin-   connecte à CIN- GP1</v>
      </c>
      <c r="H134" s="12"/>
      <c r="I134" s="73">
        <v>5</v>
      </c>
      <c r="J134" s="16">
        <v>1</v>
      </c>
      <c r="K134" s="16">
        <v>0</v>
      </c>
      <c r="L134" s="16">
        <v>0</v>
      </c>
      <c r="M134" s="78" t="s">
        <v>136</v>
      </c>
      <c r="N134" s="12"/>
      <c r="O134" s="12"/>
      <c r="P134" s="14"/>
    </row>
    <row r="135" spans="1:16" ht="15.75">
      <c r="A135" s="15"/>
      <c r="B135" s="12"/>
      <c r="C135" s="12"/>
      <c r="D135" s="12" t="s">
        <v>46</v>
      </c>
      <c r="E135" s="19" t="s">
        <v>137</v>
      </c>
      <c r="F135" s="44">
        <v>1</v>
      </c>
      <c r="G135" s="12"/>
      <c r="H135" s="12"/>
      <c r="I135" s="74">
        <v>6</v>
      </c>
      <c r="J135" s="16">
        <v>0</v>
      </c>
      <c r="K135" s="16">
        <v>1</v>
      </c>
      <c r="L135" s="16">
        <v>1</v>
      </c>
      <c r="M135" s="78" t="s">
        <v>138</v>
      </c>
      <c r="N135" s="12"/>
      <c r="O135" s="12"/>
      <c r="P135" s="14"/>
    </row>
    <row r="136" spans="1:16" ht="15.75">
      <c r="A136" s="15"/>
      <c r="B136" s="12"/>
      <c r="C136" s="12"/>
      <c r="D136" s="12" t="s">
        <v>49</v>
      </c>
      <c r="E136" s="19" t="s">
        <v>139</v>
      </c>
      <c r="F136" s="44">
        <v>1</v>
      </c>
      <c r="G136" s="12"/>
      <c r="H136" s="12"/>
      <c r="I136" s="79">
        <v>7</v>
      </c>
      <c r="J136" s="16">
        <v>1</v>
      </c>
      <c r="K136" s="16">
        <v>1</v>
      </c>
      <c r="L136" s="16">
        <v>0</v>
      </c>
      <c r="M136" s="78" t="s">
        <v>140</v>
      </c>
      <c r="N136" s="12"/>
      <c r="O136" s="12"/>
      <c r="P136" s="14"/>
    </row>
    <row r="137" spans="1:16" ht="16.5" thickBot="1">
      <c r="A137" s="15"/>
      <c r="B137" s="12"/>
      <c r="C137" s="12"/>
      <c r="D137" s="12" t="s">
        <v>53</v>
      </c>
      <c r="E137" s="19" t="s">
        <v>141</v>
      </c>
      <c r="F137" s="80">
        <v>1</v>
      </c>
      <c r="G137" s="12"/>
      <c r="H137" s="12"/>
      <c r="I137" s="81">
        <v>8</v>
      </c>
      <c r="J137" s="16">
        <v>1</v>
      </c>
      <c r="K137" s="16">
        <v>0</v>
      </c>
      <c r="L137" s="16">
        <v>1</v>
      </c>
      <c r="M137" s="78" t="s">
        <v>142</v>
      </c>
      <c r="N137" s="12"/>
      <c r="O137" s="12"/>
      <c r="P137" s="14"/>
    </row>
    <row r="138" spans="1:16" ht="12.75">
      <c r="A138" s="15"/>
      <c r="B138" s="12"/>
      <c r="C138" s="12"/>
      <c r="D138" s="12"/>
      <c r="E138" s="60"/>
      <c r="F138" s="60"/>
      <c r="G138" s="12"/>
      <c r="H138" s="12"/>
      <c r="I138" s="12"/>
      <c r="J138" s="12"/>
      <c r="K138" s="12"/>
      <c r="L138" s="12"/>
      <c r="M138" s="12"/>
      <c r="N138" s="12"/>
      <c r="O138" s="12"/>
      <c r="P138" s="14"/>
    </row>
    <row r="139" spans="1:16" ht="15.75">
      <c r="A139" s="15"/>
      <c r="B139" s="12"/>
      <c r="C139" s="12"/>
      <c r="D139" s="13" t="s">
        <v>143</v>
      </c>
      <c r="E139" s="60"/>
      <c r="F139" s="60"/>
      <c r="G139" s="37" t="str">
        <f>"  b'"&amp;F130&amp;F131&amp;F132&amp;F133&amp;F134&amp;F135&amp;F136&amp;F137&amp;"'"</f>
        <v>  b'00000111'</v>
      </c>
      <c r="H139" s="54" t="s">
        <v>144</v>
      </c>
      <c r="I139" s="13" t="str">
        <f>"  %"&amp;F130&amp;F131&amp;F132&amp;F133&amp;F134&amp;F135&amp;F136&amp;F137</f>
        <v>  %00000111</v>
      </c>
      <c r="J139" s="12"/>
      <c r="K139" s="12"/>
      <c r="L139" s="12"/>
      <c r="M139" s="12"/>
      <c r="N139" s="12"/>
      <c r="O139" s="12"/>
      <c r="P139" s="14"/>
    </row>
    <row r="140" spans="1:16" ht="15.75">
      <c r="A140" s="15"/>
      <c r="B140" s="12"/>
      <c r="C140" s="12"/>
      <c r="D140" s="12"/>
      <c r="E140" s="12"/>
      <c r="F140" s="12"/>
      <c r="G140" s="37"/>
      <c r="H140" s="12"/>
      <c r="I140" s="12"/>
      <c r="J140" s="12"/>
      <c r="K140" s="12"/>
      <c r="L140" s="12"/>
      <c r="M140" s="12"/>
      <c r="N140" s="12"/>
      <c r="O140" s="12"/>
      <c r="P140" s="14"/>
    </row>
    <row r="141" spans="1:16" ht="12.75">
      <c r="A141" s="1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4"/>
    </row>
    <row r="142" spans="1:16" ht="12.75">
      <c r="A142" s="15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4"/>
    </row>
    <row r="143" spans="1:16" ht="12.75">
      <c r="A143" s="15"/>
      <c r="B143" s="12"/>
      <c r="C143" s="16" t="s">
        <v>145</v>
      </c>
      <c r="D143" s="13" t="s">
        <v>146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4"/>
    </row>
    <row r="144" spans="1:16" ht="12.75">
      <c r="A144" s="15"/>
      <c r="B144" s="12"/>
      <c r="C144" s="12"/>
      <c r="D144" s="12"/>
      <c r="E144" s="12" t="s">
        <v>147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4"/>
    </row>
    <row r="145" spans="1:16" ht="13.5" thickBot="1">
      <c r="A145" s="15"/>
      <c r="B145" s="12"/>
      <c r="C145" s="12"/>
      <c r="D145" s="12"/>
      <c r="E145" s="12"/>
      <c r="F145" s="12"/>
      <c r="G145" s="82" t="s">
        <v>148</v>
      </c>
      <c r="H145" s="16">
        <v>5.15</v>
      </c>
      <c r="I145" s="13" t="s">
        <v>149</v>
      </c>
      <c r="J145" s="12"/>
      <c r="K145" s="12"/>
      <c r="L145" s="12"/>
      <c r="M145" s="12"/>
      <c r="N145" s="12"/>
      <c r="O145" s="12"/>
      <c r="P145" s="14"/>
    </row>
    <row r="146" spans="1:16" ht="15.75">
      <c r="A146" s="15"/>
      <c r="B146" s="12"/>
      <c r="C146" s="12"/>
      <c r="D146" s="12" t="s">
        <v>60</v>
      </c>
      <c r="E146" s="12" t="s">
        <v>150</v>
      </c>
      <c r="F146" s="83">
        <v>0</v>
      </c>
      <c r="G146" s="19" t="str">
        <f>IF(F146=1," référence active","référence non active")</f>
        <v>référence non active</v>
      </c>
      <c r="H146" s="12"/>
      <c r="I146" s="12"/>
      <c r="J146" s="12"/>
      <c r="K146" s="12"/>
      <c r="L146" s="12"/>
      <c r="M146" s="12"/>
      <c r="N146" s="12"/>
      <c r="O146" s="12"/>
      <c r="P146" s="14"/>
    </row>
    <row r="147" spans="1:16" ht="15.75">
      <c r="A147" s="15"/>
      <c r="B147" s="12"/>
      <c r="C147" s="12"/>
      <c r="D147" s="12" t="s">
        <v>34</v>
      </c>
      <c r="E147" s="12">
        <v>0</v>
      </c>
      <c r="F147" s="84">
        <v>0</v>
      </c>
      <c r="G147" s="12"/>
      <c r="H147" s="32"/>
      <c r="I147" s="12"/>
      <c r="J147" s="12"/>
      <c r="K147" s="12"/>
      <c r="L147" s="12"/>
      <c r="M147" s="12"/>
      <c r="N147" s="12"/>
      <c r="O147" s="12"/>
      <c r="P147" s="14"/>
    </row>
    <row r="148" spans="1:16" ht="15.75">
      <c r="A148" s="15"/>
      <c r="B148" s="12"/>
      <c r="C148" s="12"/>
      <c r="D148" s="12" t="s">
        <v>37</v>
      </c>
      <c r="E148" s="12" t="s">
        <v>151</v>
      </c>
      <c r="F148" s="85">
        <v>0</v>
      </c>
      <c r="G148" s="86" t="s">
        <v>152</v>
      </c>
      <c r="H148" s="26">
        <f>IF(F148=0,H145/4,0)</f>
        <v>1.2875</v>
      </c>
      <c r="I148" s="12"/>
      <c r="J148" s="12"/>
      <c r="K148" s="12"/>
      <c r="L148" s="12"/>
      <c r="M148" s="12"/>
      <c r="N148" s="12"/>
      <c r="O148" s="12"/>
      <c r="P148" s="14"/>
    </row>
    <row r="149" spans="1:16" ht="15.75">
      <c r="A149" s="15"/>
      <c r="B149" s="12"/>
      <c r="C149" s="12"/>
      <c r="D149" s="12" t="s">
        <v>40</v>
      </c>
      <c r="E149" s="12"/>
      <c r="F149" s="84">
        <v>0</v>
      </c>
      <c r="G149" s="12"/>
      <c r="H149" s="26"/>
      <c r="I149" s="12"/>
      <c r="J149" s="12"/>
      <c r="K149" s="12"/>
      <c r="L149" s="12"/>
      <c r="M149" s="12"/>
      <c r="N149" s="12"/>
      <c r="O149" s="12"/>
      <c r="P149" s="14"/>
    </row>
    <row r="150" spans="1:16" ht="15.75">
      <c r="A150" s="15"/>
      <c r="B150" s="12"/>
      <c r="C150" s="12"/>
      <c r="D150" s="12" t="s">
        <v>44</v>
      </c>
      <c r="E150" s="12"/>
      <c r="F150" s="85">
        <v>1</v>
      </c>
      <c r="G150" s="12"/>
      <c r="H150" s="26">
        <f>IF(F150=1,8,0)</f>
        <v>8</v>
      </c>
      <c r="I150" s="12"/>
      <c r="J150" s="12"/>
      <c r="K150" s="12"/>
      <c r="L150" s="12"/>
      <c r="M150" s="12"/>
      <c r="N150" s="12"/>
      <c r="O150" s="12"/>
      <c r="P150" s="14"/>
    </row>
    <row r="151" spans="1:16" ht="15.75">
      <c r="A151" s="15"/>
      <c r="B151" s="12"/>
      <c r="C151" s="12"/>
      <c r="D151" s="12" t="s">
        <v>46</v>
      </c>
      <c r="E151" s="12"/>
      <c r="F151" s="87">
        <v>1</v>
      </c>
      <c r="G151" s="12"/>
      <c r="H151" s="26">
        <f>IF(F151=1,4,0)</f>
        <v>4</v>
      </c>
      <c r="I151" s="12"/>
      <c r="J151" s="12"/>
      <c r="K151" s="12"/>
      <c r="L151" s="12"/>
      <c r="M151" s="12"/>
      <c r="N151" s="12"/>
      <c r="O151" s="12"/>
      <c r="P151" s="14"/>
    </row>
    <row r="152" spans="1:16" ht="15.75">
      <c r="A152" s="15"/>
      <c r="B152" s="12"/>
      <c r="C152" s="12"/>
      <c r="D152" s="12" t="s">
        <v>49</v>
      </c>
      <c r="E152" s="12"/>
      <c r="F152" s="87">
        <v>0</v>
      </c>
      <c r="G152" s="12"/>
      <c r="H152" s="26">
        <f>IF(F152=1,2,0)</f>
        <v>0</v>
      </c>
      <c r="I152" s="12"/>
      <c r="J152" s="12"/>
      <c r="K152" s="12"/>
      <c r="L152" s="12"/>
      <c r="M152" s="12"/>
      <c r="N152" s="12"/>
      <c r="O152" s="12"/>
      <c r="P152" s="14"/>
    </row>
    <row r="153" spans="1:16" ht="16.5" thickBot="1">
      <c r="A153" s="15"/>
      <c r="B153" s="12"/>
      <c r="C153" s="12"/>
      <c r="D153" s="12" t="s">
        <v>53</v>
      </c>
      <c r="E153" s="12"/>
      <c r="F153" s="88">
        <v>1</v>
      </c>
      <c r="G153" s="12"/>
      <c r="H153" s="26">
        <f>IF(F153=1,1,0)</f>
        <v>1</v>
      </c>
      <c r="I153" s="12"/>
      <c r="J153" s="12"/>
      <c r="K153" s="12"/>
      <c r="L153" s="12"/>
      <c r="M153" s="12"/>
      <c r="N153" s="12"/>
      <c r="O153" s="12"/>
      <c r="P153" s="14"/>
    </row>
    <row r="154" spans="1:16" ht="15.75">
      <c r="A154" s="15"/>
      <c r="B154" s="12"/>
      <c r="C154" s="12"/>
      <c r="D154" s="12"/>
      <c r="E154" s="12"/>
      <c r="F154" s="12"/>
      <c r="G154" s="89" t="s">
        <v>153</v>
      </c>
      <c r="H154" s="90">
        <f>H148+H145*(H150+H151+H152+H153)/32</f>
        <v>3.3796875</v>
      </c>
      <c r="I154" s="12"/>
      <c r="J154" s="12"/>
      <c r="K154" s="12"/>
      <c r="L154" s="12"/>
      <c r="M154" s="12"/>
      <c r="N154" s="12"/>
      <c r="O154" s="12"/>
      <c r="P154" s="14"/>
    </row>
    <row r="155" spans="1:16" ht="15.75">
      <c r="A155" s="15"/>
      <c r="B155" s="12"/>
      <c r="C155" s="12"/>
      <c r="D155" s="13" t="s">
        <v>154</v>
      </c>
      <c r="E155" s="60"/>
      <c r="F155" s="60"/>
      <c r="G155" s="37" t="str">
        <f>"  b'"&amp;F146&amp;F147&amp;F148&amp;F149&amp;F150&amp;F151&amp;F152&amp;F153&amp;"'"</f>
        <v>  b'00001101'</v>
      </c>
      <c r="H155" s="54" t="s">
        <v>155</v>
      </c>
      <c r="I155" s="13" t="str">
        <f>"  %"&amp;F146&amp;F147&amp;F148&amp;F149&amp;F150&amp;F151&amp;F152&amp;F153</f>
        <v>  %00001101</v>
      </c>
      <c r="J155" s="12"/>
      <c r="K155" s="12"/>
      <c r="L155" s="12"/>
      <c r="M155" s="12"/>
      <c r="N155" s="12"/>
      <c r="O155" s="12"/>
      <c r="P155" s="14"/>
    </row>
    <row r="156" spans="1:16" ht="12.75">
      <c r="A156" s="38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40"/>
    </row>
    <row r="157" spans="1:13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1:13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1:13" ht="12.75">
      <c r="A159" s="13" t="s">
        <v>156</v>
      </c>
      <c r="B159" s="12"/>
      <c r="C159" s="16" t="s">
        <v>157</v>
      </c>
      <c r="D159" s="13" t="s">
        <v>158</v>
      </c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1:13" ht="13.5" thickBo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1:13" ht="15.75">
      <c r="A161" s="12"/>
      <c r="B161" s="12"/>
      <c r="C161" s="12"/>
      <c r="D161" s="12" t="s">
        <v>60</v>
      </c>
      <c r="E161" s="12"/>
      <c r="F161" s="68">
        <v>0</v>
      </c>
      <c r="G161" s="12" t="s">
        <v>61</v>
      </c>
      <c r="H161" s="12"/>
      <c r="I161" s="12"/>
      <c r="J161" s="12"/>
      <c r="K161" s="12"/>
      <c r="L161" s="12"/>
      <c r="M161" s="12"/>
    </row>
    <row r="162" spans="1:13" ht="16.5" thickBot="1">
      <c r="A162" s="12"/>
      <c r="B162" s="12"/>
      <c r="C162" s="12"/>
      <c r="D162" s="12" t="s">
        <v>34</v>
      </c>
      <c r="E162" s="12" t="s">
        <v>159</v>
      </c>
      <c r="F162" s="91">
        <v>0</v>
      </c>
      <c r="G162" s="19" t="str">
        <f>IF(F162=0,"Timer1   Activé","Timer1  activé si b2  T1G est bas")</f>
        <v>Timer1   Activé</v>
      </c>
      <c r="H162" s="12" t="s">
        <v>160</v>
      </c>
      <c r="I162" s="12"/>
      <c r="J162" s="26"/>
      <c r="K162" s="12"/>
      <c r="L162" s="12"/>
      <c r="M162" s="12"/>
    </row>
    <row r="163" spans="1:13" ht="16.5" thickBot="1">
      <c r="A163" s="15" t="s">
        <v>161</v>
      </c>
      <c r="B163" s="12"/>
      <c r="C163" s="12"/>
      <c r="D163" s="12" t="s">
        <v>37</v>
      </c>
      <c r="E163" s="12" t="s">
        <v>162</v>
      </c>
      <c r="F163" s="92">
        <v>1</v>
      </c>
      <c r="G163" s="82" t="s">
        <v>163</v>
      </c>
      <c r="H163" s="93">
        <f>1/J166</f>
        <v>0.25</v>
      </c>
      <c r="I163" s="12"/>
      <c r="J163" s="26">
        <f>IF(F163=0,0,4)</f>
        <v>4</v>
      </c>
      <c r="K163" s="12"/>
      <c r="L163" s="12"/>
      <c r="M163" s="12"/>
    </row>
    <row r="164" spans="1:13" ht="16.5" thickBot="1">
      <c r="A164" t="s">
        <v>164</v>
      </c>
      <c r="B164" s="12"/>
      <c r="C164" s="12"/>
      <c r="D164" s="12" t="s">
        <v>40</v>
      </c>
      <c r="E164" s="12" t="s">
        <v>165</v>
      </c>
      <c r="F164" s="92">
        <v>0</v>
      </c>
      <c r="G164" s="12"/>
      <c r="H164" s="94">
        <f>0.065356/H163</f>
        <v>0.261424</v>
      </c>
      <c r="I164" s="12" t="s">
        <v>36</v>
      </c>
      <c r="J164" s="26">
        <f>IF(F164=0,0,1)</f>
        <v>0</v>
      </c>
      <c r="K164" s="12"/>
      <c r="L164" s="12"/>
      <c r="M164" s="12"/>
    </row>
    <row r="165" spans="1:13" ht="15.75">
      <c r="A165" s="95">
        <v>0.065356</v>
      </c>
      <c r="B165" s="12" t="s">
        <v>36</v>
      </c>
      <c r="C165" s="12"/>
      <c r="D165" s="12" t="s">
        <v>44</v>
      </c>
      <c r="E165" s="12" t="s">
        <v>166</v>
      </c>
      <c r="F165" s="96">
        <v>0</v>
      </c>
      <c r="G165" s="19" t="str">
        <f>IF(F165=0,"oscillation LP  off","oscillation LP  valité pour l'horloge Timer1 ")</f>
        <v>oscillation LP  off</v>
      </c>
      <c r="H165" s="12"/>
      <c r="I165" s="12"/>
      <c r="J165" s="26">
        <f>J163+J164</f>
        <v>4</v>
      </c>
      <c r="K165" s="12"/>
      <c r="L165" s="12"/>
      <c r="M165" s="12"/>
    </row>
    <row r="166" spans="1:13" ht="15.75">
      <c r="A166" s="15" t="s">
        <v>39</v>
      </c>
      <c r="B166" s="12"/>
      <c r="C166" s="12"/>
      <c r="D166" s="12" t="s">
        <v>46</v>
      </c>
      <c r="E166" s="12" t="s">
        <v>167</v>
      </c>
      <c r="F166" s="96">
        <v>0</v>
      </c>
      <c r="G166" s="19" t="str">
        <f>IF(F166=0,"Synchronise l'horloge ext","pas de synchronisation  ")</f>
        <v>Synchronise l'horloge ext</v>
      </c>
      <c r="H166" s="12" t="s">
        <v>168</v>
      </c>
      <c r="I166" s="12"/>
      <c r="J166" s="26">
        <f>IF(J165=0,1,IF(J165=1,2,IF(J165=4,4,IF(J165=5,8,"0"))))</f>
        <v>4</v>
      </c>
      <c r="K166" s="12"/>
      <c r="L166" s="12"/>
      <c r="M166" s="12"/>
    </row>
    <row r="167" spans="1:13" ht="16.5" thickBot="1">
      <c r="A167" s="15" t="s">
        <v>43</v>
      </c>
      <c r="B167" s="12"/>
      <c r="C167" s="12"/>
      <c r="D167" s="12" t="s">
        <v>49</v>
      </c>
      <c r="E167" s="12" t="s">
        <v>169</v>
      </c>
      <c r="F167" s="96">
        <v>0</v>
      </c>
      <c r="G167" s="19" t="str">
        <f>IF(F167=0,"Horloge interne sélectionnée( Fosc/4)","Horloge externe selectionnée")</f>
        <v>Horloge interne sélectionnée( Fosc/4)</v>
      </c>
      <c r="H167" s="12"/>
      <c r="I167" s="12"/>
      <c r="J167" s="12"/>
      <c r="K167" s="12"/>
      <c r="L167" s="12"/>
      <c r="M167" s="12"/>
    </row>
    <row r="168" spans="1:13" ht="16.5" thickBot="1">
      <c r="A168" s="97">
        <f>H164</f>
        <v>0.261424</v>
      </c>
      <c r="B168" s="12" t="s">
        <v>36</v>
      </c>
      <c r="C168" s="12"/>
      <c r="D168" s="12" t="s">
        <v>53</v>
      </c>
      <c r="E168" s="12" t="s">
        <v>170</v>
      </c>
      <c r="F168" s="98">
        <v>1</v>
      </c>
      <c r="G168" s="19" t="str">
        <f>IF(F168=0,"Timer1   Désactivé","Timer1  activé")</f>
        <v>Timer1  activé</v>
      </c>
      <c r="H168" s="12"/>
      <c r="I168" s="12"/>
      <c r="J168" s="12"/>
      <c r="K168" s="12"/>
      <c r="L168" s="12"/>
      <c r="M168" s="12"/>
    </row>
    <row r="169" spans="1:13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1:13" ht="15.75">
      <c r="A170" s="12"/>
      <c r="B170" s="12"/>
      <c r="C170" s="12"/>
      <c r="D170" s="13" t="s">
        <v>171</v>
      </c>
      <c r="E170" s="12"/>
      <c r="F170" s="12"/>
      <c r="G170" s="37" t="str">
        <f>"  b'"&amp;F161&amp;F162&amp;F163&amp;F164&amp;F165&amp;F166&amp;F167&amp;F168&amp;"'"</f>
        <v>  b'00100001'</v>
      </c>
      <c r="H170" s="54" t="s">
        <v>172</v>
      </c>
      <c r="I170" s="13" t="str">
        <f>"  %"&amp;F161&amp;F162&amp;F163&amp;F164&amp;F165&amp;F166&amp;F167&amp;F168</f>
        <v>  %00100001</v>
      </c>
      <c r="J170" s="12"/>
      <c r="K170" s="12"/>
      <c r="L170" s="12"/>
      <c r="M170" s="12"/>
    </row>
    <row r="171" spans="1:13" ht="15.75">
      <c r="A171" s="12"/>
      <c r="B171" s="12"/>
      <c r="C171" s="12"/>
      <c r="D171" s="13"/>
      <c r="E171" s="12"/>
      <c r="F171" s="12"/>
      <c r="G171" s="37"/>
      <c r="H171" s="48"/>
      <c r="I171" s="12"/>
      <c r="J171" s="12"/>
      <c r="K171" s="12"/>
      <c r="L171" s="12"/>
      <c r="M171" s="12"/>
    </row>
    <row r="172" spans="1:16" ht="15.75">
      <c r="A172" s="41"/>
      <c r="B172" s="10"/>
      <c r="C172" s="10"/>
      <c r="D172" s="57"/>
      <c r="E172" s="10"/>
      <c r="F172" s="10"/>
      <c r="G172" s="58"/>
      <c r="H172" s="99"/>
      <c r="I172" s="10"/>
      <c r="J172" s="10"/>
      <c r="K172" s="10"/>
      <c r="L172" s="10"/>
      <c r="M172" s="10"/>
      <c r="N172" s="10"/>
      <c r="O172" s="10"/>
      <c r="P172" s="11"/>
    </row>
    <row r="173" spans="1:16" ht="12.75">
      <c r="A173" s="15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4"/>
    </row>
    <row r="174" spans="1:16" ht="12.75">
      <c r="A174" s="42" t="s">
        <v>173</v>
      </c>
      <c r="B174" s="13"/>
      <c r="C174" s="16" t="s">
        <v>174</v>
      </c>
      <c r="D174" s="13" t="s">
        <v>175</v>
      </c>
      <c r="E174" s="13"/>
      <c r="F174" s="13"/>
      <c r="G174" s="13"/>
      <c r="H174" s="12"/>
      <c r="I174" s="12"/>
      <c r="J174" s="12"/>
      <c r="K174" s="12"/>
      <c r="L174" s="12"/>
      <c r="M174" s="12"/>
      <c r="N174" s="12"/>
      <c r="O174" s="12"/>
      <c r="P174" s="14"/>
    </row>
    <row r="175" spans="1:16" ht="12.75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4"/>
    </row>
    <row r="176" spans="1:16" ht="13.5" thickBot="1">
      <c r="A176" s="15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4"/>
    </row>
    <row r="177" spans="1:16" ht="15.75">
      <c r="A177" s="15"/>
      <c r="B177" s="12"/>
      <c r="C177" s="12"/>
      <c r="D177" s="12" t="s">
        <v>60</v>
      </c>
      <c r="E177" s="12" t="s">
        <v>176</v>
      </c>
      <c r="F177" s="100">
        <v>0</v>
      </c>
      <c r="G177" s="19" t="str">
        <f>IF(F177=0,"Ref=VDD","Ref= Pin")</f>
        <v>Ref=VDD</v>
      </c>
      <c r="H177" s="12"/>
      <c r="I177" s="12"/>
      <c r="J177" s="12"/>
      <c r="K177" s="12"/>
      <c r="L177" s="12"/>
      <c r="M177" s="12"/>
      <c r="N177" s="12"/>
      <c r="O177" s="12"/>
      <c r="P177" s="14"/>
    </row>
    <row r="178" spans="1:16" ht="15.75">
      <c r="A178" s="15"/>
      <c r="B178" s="12"/>
      <c r="C178" s="12"/>
      <c r="D178" s="12" t="s">
        <v>34</v>
      </c>
      <c r="E178" s="12" t="s">
        <v>177</v>
      </c>
      <c r="F178" s="96">
        <v>0</v>
      </c>
      <c r="G178" s="19" t="str">
        <f>IF(F178=0,"Justifié à gauche","Justifié à droite")</f>
        <v>Justifié à gauche</v>
      </c>
      <c r="H178" s="12"/>
      <c r="I178" s="12"/>
      <c r="J178" s="12"/>
      <c r="K178" s="12"/>
      <c r="L178" s="12"/>
      <c r="M178" s="12"/>
      <c r="N178" s="12"/>
      <c r="O178" s="12"/>
      <c r="P178" s="14"/>
    </row>
    <row r="179" spans="1:16" ht="15.75">
      <c r="A179" s="15"/>
      <c r="B179" s="12"/>
      <c r="C179" s="12"/>
      <c r="D179" s="12" t="s">
        <v>37</v>
      </c>
      <c r="E179" s="12"/>
      <c r="F179" s="70">
        <v>0</v>
      </c>
      <c r="G179" s="12" t="s">
        <v>61</v>
      </c>
      <c r="H179" s="12"/>
      <c r="I179" s="12"/>
      <c r="J179" s="12"/>
      <c r="K179" s="12"/>
      <c r="L179" s="12"/>
      <c r="M179" s="12"/>
      <c r="N179" s="12"/>
      <c r="O179" s="12"/>
      <c r="P179" s="14"/>
    </row>
    <row r="180" spans="1:16" ht="15.75">
      <c r="A180" s="15"/>
      <c r="B180" s="12"/>
      <c r="C180" s="12"/>
      <c r="D180" s="12" t="s">
        <v>40</v>
      </c>
      <c r="E180" s="12"/>
      <c r="F180" s="70">
        <v>0</v>
      </c>
      <c r="G180" s="12" t="s">
        <v>61</v>
      </c>
      <c r="H180" s="12"/>
      <c r="I180" s="12"/>
      <c r="J180" s="12"/>
      <c r="K180" s="12"/>
      <c r="L180" s="12"/>
      <c r="M180" s="12"/>
      <c r="N180" s="12"/>
      <c r="O180" s="12"/>
      <c r="P180" s="14"/>
    </row>
    <row r="181" spans="1:16" ht="15.75">
      <c r="A181" s="15"/>
      <c r="B181" s="12"/>
      <c r="C181" s="12"/>
      <c r="D181" s="12" t="s">
        <v>44</v>
      </c>
      <c r="E181" s="12" t="s">
        <v>178</v>
      </c>
      <c r="F181" s="91">
        <v>1</v>
      </c>
      <c r="G181" s="12"/>
      <c r="H181" s="12"/>
      <c r="I181" s="12"/>
      <c r="J181" s="12"/>
      <c r="K181" s="12"/>
      <c r="L181" s="12"/>
      <c r="M181" s="12"/>
      <c r="N181" s="12"/>
      <c r="O181" s="12"/>
      <c r="P181" s="14"/>
    </row>
    <row r="182" spans="1:16" ht="15.75">
      <c r="A182" s="15"/>
      <c r="B182" s="12"/>
      <c r="C182" s="12"/>
      <c r="D182" s="12" t="s">
        <v>46</v>
      </c>
      <c r="E182" s="101" t="s">
        <v>179</v>
      </c>
      <c r="F182" s="91">
        <v>1</v>
      </c>
      <c r="G182" s="16" t="str">
        <f>IF((10*F181+F182=0),"   AN0 sélectionné",IF((10*F181+F182=1),"   AN1 sélectionné",IF((10*F181+F182=10),"   AN2 sélectionné",IF((10*F181+F182)=11,"   AN3 sélectionné"," "))))</f>
        <v>   AN3 sélectionné</v>
      </c>
      <c r="H182" s="76"/>
      <c r="I182" s="12"/>
      <c r="J182" s="12"/>
      <c r="K182" s="12"/>
      <c r="L182" s="12"/>
      <c r="M182" s="12"/>
      <c r="N182" s="12"/>
      <c r="O182" s="12"/>
      <c r="P182" s="14"/>
    </row>
    <row r="183" spans="1:16" ht="15.75">
      <c r="A183" s="15"/>
      <c r="B183" s="12"/>
      <c r="C183" s="12"/>
      <c r="D183" s="12" t="s">
        <v>49</v>
      </c>
      <c r="E183" s="101" t="s">
        <v>180</v>
      </c>
      <c r="F183" s="102">
        <v>0</v>
      </c>
      <c r="G183" s="12" t="s">
        <v>181</v>
      </c>
      <c r="H183" s="12"/>
      <c r="I183" s="12"/>
      <c r="J183" s="12"/>
      <c r="K183" s="12"/>
      <c r="L183" s="12"/>
      <c r="M183" s="12"/>
      <c r="N183" s="12"/>
      <c r="O183" s="12"/>
      <c r="P183" s="14"/>
    </row>
    <row r="184" spans="1:16" ht="16.5" thickBot="1">
      <c r="A184" s="15"/>
      <c r="B184" s="12"/>
      <c r="C184" s="12"/>
      <c r="D184" s="12" t="s">
        <v>53</v>
      </c>
      <c r="E184" s="101" t="s">
        <v>182</v>
      </c>
      <c r="F184" s="103">
        <v>1</v>
      </c>
      <c r="G184" s="19" t="str">
        <f>IF(F184=0,"Convertisseur    Désactivé","convertisseur  activé")</f>
        <v>convertisseur  activé</v>
      </c>
      <c r="H184" s="13" t="s">
        <v>183</v>
      </c>
      <c r="I184" s="12"/>
      <c r="J184" s="12"/>
      <c r="K184" s="12"/>
      <c r="L184" s="12"/>
      <c r="M184" s="12"/>
      <c r="N184" s="12"/>
      <c r="O184" s="12"/>
      <c r="P184" s="14"/>
    </row>
    <row r="185" spans="1:16" ht="12.75">
      <c r="A185" s="15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4"/>
    </row>
    <row r="186" spans="1:16" ht="15.75">
      <c r="A186" s="15"/>
      <c r="B186" s="12"/>
      <c r="C186" s="12"/>
      <c r="D186" s="13" t="s">
        <v>184</v>
      </c>
      <c r="E186" s="12"/>
      <c r="F186" s="12"/>
      <c r="G186" s="37" t="str">
        <f>"  b'"&amp;F177&amp;F178&amp;F179&amp;F180&amp;F181&amp;F182&amp;F183&amp;F184&amp;"'"</f>
        <v>  b'00001101'</v>
      </c>
      <c r="H186" s="54" t="s">
        <v>185</v>
      </c>
      <c r="I186" s="13" t="str">
        <f>"  %"&amp;F177&amp;F178&amp;F179&amp;F180&amp;F181&amp;F182&amp;F183&amp;F184</f>
        <v>  %00001101</v>
      </c>
      <c r="J186" s="12"/>
      <c r="K186" s="12"/>
      <c r="L186" s="12"/>
      <c r="M186" s="12"/>
      <c r="N186" s="12"/>
      <c r="O186" s="12"/>
      <c r="P186" s="14"/>
    </row>
    <row r="187" spans="1:16" ht="12.75">
      <c r="A187" s="38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40"/>
    </row>
    <row r="188" spans="1:13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1:13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1:13" ht="12.75">
      <c r="A190" s="42" t="s">
        <v>173</v>
      </c>
      <c r="B190" s="13"/>
      <c r="C190" s="16" t="s">
        <v>174</v>
      </c>
      <c r="D190" s="13" t="s">
        <v>186</v>
      </c>
      <c r="E190" s="13"/>
      <c r="F190" s="13"/>
      <c r="G190" s="13"/>
      <c r="H190" s="12"/>
      <c r="I190" s="12"/>
      <c r="J190" s="12"/>
      <c r="K190" s="12"/>
      <c r="L190" s="12"/>
      <c r="M190" s="12"/>
    </row>
    <row r="191" spans="1:13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1:13" ht="13.5" thickBo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1:13" ht="15.75">
      <c r="A193" s="12"/>
      <c r="B193" s="12"/>
      <c r="C193" s="12"/>
      <c r="D193" s="12" t="s">
        <v>60</v>
      </c>
      <c r="E193" s="12"/>
      <c r="F193" s="100">
        <v>0</v>
      </c>
      <c r="G193" s="12" t="s">
        <v>61</v>
      </c>
      <c r="H193" s="12"/>
      <c r="I193" s="12"/>
      <c r="J193" s="12"/>
      <c r="K193" s="12"/>
      <c r="L193" s="12"/>
      <c r="M193" s="12"/>
    </row>
    <row r="194" spans="1:13" ht="15.75">
      <c r="A194" s="12"/>
      <c r="B194" s="12"/>
      <c r="C194" s="12"/>
      <c r="D194" s="12" t="s">
        <v>34</v>
      </c>
      <c r="E194" s="12" t="s">
        <v>187</v>
      </c>
      <c r="F194" s="104">
        <v>0</v>
      </c>
      <c r="G194" s="12"/>
      <c r="H194" s="12" t="s">
        <v>188</v>
      </c>
      <c r="I194" s="12"/>
      <c r="J194" s="12"/>
      <c r="K194" s="12"/>
      <c r="L194" s="12"/>
      <c r="M194" s="12"/>
    </row>
    <row r="195" spans="1:13" ht="15.75">
      <c r="A195" s="12"/>
      <c r="B195" s="12"/>
      <c r="C195" s="12"/>
      <c r="D195" s="12" t="s">
        <v>37</v>
      </c>
      <c r="E195" s="12" t="s">
        <v>189</v>
      </c>
      <c r="F195" s="104">
        <v>0</v>
      </c>
      <c r="G195" s="12"/>
      <c r="H195" s="12" t="s">
        <v>190</v>
      </c>
      <c r="I195" s="12"/>
      <c r="J195" s="12"/>
      <c r="K195" s="12"/>
      <c r="L195" s="12"/>
      <c r="M195" s="12"/>
    </row>
    <row r="196" spans="1:13" ht="15.75">
      <c r="A196" s="12"/>
      <c r="B196" s="12"/>
      <c r="C196" s="12"/>
      <c r="D196" s="12" t="s">
        <v>40</v>
      </c>
      <c r="E196" s="12" t="s">
        <v>191</v>
      </c>
      <c r="F196" s="104">
        <v>1</v>
      </c>
      <c r="G196" s="16" t="str">
        <f>IF((100*F194+10*F195+F196=0),"   Fosc/2",IF((100*F194+10*F195+F196=1),"   Fosc/8",IF((100*F194+10*F195+F196=10),"   Fosc/32",IF((100*F194+10*F195+F196=11),"    Frc",IF((100*F194+10*F195+F196=100),"   Fosc/4",IF((100*F194+10*F195+F196=101),"   Fosc/16",IF((100*F194+10*F195+F196=110),"  Fosc/64"," ")))))))</f>
        <v>   Fosc/8</v>
      </c>
      <c r="H196" s="12" t="s">
        <v>192</v>
      </c>
      <c r="I196" s="12"/>
      <c r="J196" s="12"/>
      <c r="K196" s="12"/>
      <c r="L196" s="12"/>
      <c r="M196" s="12"/>
    </row>
    <row r="197" spans="1:13" ht="15.75">
      <c r="A197" s="12"/>
      <c r="B197" s="12"/>
      <c r="C197" s="12"/>
      <c r="D197" s="12" t="s">
        <v>44</v>
      </c>
      <c r="E197" s="12" t="s">
        <v>193</v>
      </c>
      <c r="F197" s="96">
        <v>0</v>
      </c>
      <c r="G197" s="19" t="str">
        <f>IF(F197=1,"Entée analogique","Entrée digitale ")</f>
        <v>Entrée digitale </v>
      </c>
      <c r="H197" s="12"/>
      <c r="I197" s="12"/>
      <c r="J197" s="12"/>
      <c r="K197" s="12"/>
      <c r="L197" s="12"/>
      <c r="M197" s="12"/>
    </row>
    <row r="198" spans="1:13" ht="15.75">
      <c r="A198" s="12"/>
      <c r="B198" s="12"/>
      <c r="C198" s="12"/>
      <c r="D198" s="12" t="s">
        <v>46</v>
      </c>
      <c r="E198" s="12" t="s">
        <v>194</v>
      </c>
      <c r="F198" s="96">
        <v>0</v>
      </c>
      <c r="G198" s="19" t="str">
        <f>IF(F198=1,"Entée analogique","Entrée digitale ")</f>
        <v>Entrée digitale </v>
      </c>
      <c r="H198" s="12"/>
      <c r="I198" s="12"/>
      <c r="J198" s="12"/>
      <c r="K198" s="12"/>
      <c r="L198" s="12"/>
      <c r="M198" s="12"/>
    </row>
    <row r="199" spans="1:13" ht="15.75">
      <c r="A199" s="12"/>
      <c r="B199" s="12"/>
      <c r="C199" s="12"/>
      <c r="D199" s="12" t="s">
        <v>49</v>
      </c>
      <c r="E199" s="12" t="s">
        <v>195</v>
      </c>
      <c r="F199" s="96">
        <v>0</v>
      </c>
      <c r="G199" s="19" t="str">
        <f>IF(F199=1,"Entée analogique","Entrée digitale ")</f>
        <v>Entrée digitale </v>
      </c>
      <c r="H199" s="12"/>
      <c r="I199" s="12"/>
      <c r="J199" s="12"/>
      <c r="K199" s="12"/>
      <c r="L199" s="12"/>
      <c r="M199" s="12"/>
    </row>
    <row r="200" spans="1:13" ht="16.5" thickBot="1">
      <c r="A200" s="12"/>
      <c r="B200" s="12"/>
      <c r="C200" s="12"/>
      <c r="D200" s="12" t="s">
        <v>53</v>
      </c>
      <c r="E200" s="12" t="s">
        <v>196</v>
      </c>
      <c r="F200" s="103">
        <v>1</v>
      </c>
      <c r="G200" s="19" t="str">
        <f>IF(F200=1,"Entée analogique","Entrée digitale ")</f>
        <v>Entée analogique</v>
      </c>
      <c r="H200" s="12"/>
      <c r="I200" s="12"/>
      <c r="J200" s="12"/>
      <c r="K200" s="12"/>
      <c r="L200" s="12"/>
      <c r="M200" s="12"/>
    </row>
    <row r="201" spans="1:13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1:13" ht="15.75">
      <c r="A202" s="12"/>
      <c r="B202" s="12"/>
      <c r="C202" s="12"/>
      <c r="D202" s="67" t="s">
        <v>197</v>
      </c>
      <c r="E202" s="12"/>
      <c r="F202" s="12"/>
      <c r="G202" s="37" t="str">
        <f>"  b'"&amp;F193&amp;F194&amp;F195&amp;F196&amp;F197&amp;F198&amp;F199&amp;F200&amp;"'"</f>
        <v>  b'00010001'</v>
      </c>
      <c r="H202" s="48" t="s">
        <v>198</v>
      </c>
      <c r="I202" s="12" t="str">
        <f>"  %"&amp;F193&amp;F194&amp;F195&amp;F196&amp;F197&amp;F198&amp;F199&amp;F200</f>
        <v>  %00010001</v>
      </c>
      <c r="J202" s="12"/>
      <c r="K202" s="12"/>
      <c r="L202" s="12"/>
      <c r="M202" s="12"/>
    </row>
    <row r="203" spans="1:13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1:16" ht="12.75">
      <c r="A204" s="41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1"/>
    </row>
    <row r="205" spans="1:16" ht="12.75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4"/>
    </row>
    <row r="206" spans="1:16" ht="12.75">
      <c r="A206" s="15"/>
      <c r="B206" s="12"/>
      <c r="C206" s="16" t="s">
        <v>199</v>
      </c>
      <c r="D206" s="13" t="s">
        <v>200</v>
      </c>
      <c r="E206" s="13"/>
      <c r="F206" s="13"/>
      <c r="G206" s="13"/>
      <c r="H206" s="12"/>
      <c r="I206" s="12"/>
      <c r="J206" s="12"/>
      <c r="K206" s="12"/>
      <c r="L206" s="12"/>
      <c r="M206" s="12"/>
      <c r="N206" s="12"/>
      <c r="O206" s="12"/>
      <c r="P206" s="14"/>
    </row>
    <row r="207" spans="1:16" ht="12.75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4"/>
    </row>
    <row r="208" spans="1:16" ht="13.5" thickBot="1">
      <c r="A208" s="15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4"/>
    </row>
    <row r="209" spans="1:16" ht="15.75">
      <c r="A209" s="15"/>
      <c r="B209" s="12"/>
      <c r="C209" s="12"/>
      <c r="D209" s="12" t="s">
        <v>60</v>
      </c>
      <c r="E209" s="12" t="s">
        <v>201</v>
      </c>
      <c r="F209" s="105">
        <v>0</v>
      </c>
      <c r="G209" s="19" t="str">
        <f>IF(F209=1,"Convertion A/D  COMPLETE ","Convertion A/D  INCOMPLETE ")</f>
        <v>Convertion A/D  INCOMPLETE </v>
      </c>
      <c r="H209" s="12"/>
      <c r="I209" s="12"/>
      <c r="J209" s="12"/>
      <c r="K209" s="12"/>
      <c r="L209" s="12"/>
      <c r="M209" s="12"/>
      <c r="N209" s="12"/>
      <c r="O209" s="12"/>
      <c r="P209" s="14"/>
    </row>
    <row r="210" spans="1:16" ht="15.75">
      <c r="A210" s="15"/>
      <c r="B210" s="12"/>
      <c r="C210" s="12"/>
      <c r="D210" s="12" t="s">
        <v>34</v>
      </c>
      <c r="E210" s="12" t="s">
        <v>202</v>
      </c>
      <c r="F210" s="102">
        <v>0</v>
      </c>
      <c r="G210" s="19" t="str">
        <f>IF(F210=1,"Ecriture dans l'EEPROM complete ","Ecriture dans l'EEPROM PAS terminée ")</f>
        <v>Ecriture dans l'EEPROM PAS terminée </v>
      </c>
      <c r="H210" s="12"/>
      <c r="I210" s="12"/>
      <c r="J210" s="12"/>
      <c r="K210" s="12"/>
      <c r="L210" s="12"/>
      <c r="M210" s="12"/>
      <c r="N210" s="12"/>
      <c r="O210" s="12"/>
      <c r="P210" s="14"/>
    </row>
    <row r="211" spans="1:16" ht="15.75">
      <c r="A211" s="15"/>
      <c r="B211" s="12"/>
      <c r="C211" s="12"/>
      <c r="D211" s="12" t="s">
        <v>37</v>
      </c>
      <c r="E211" s="12"/>
      <c r="F211" s="70">
        <v>0</v>
      </c>
      <c r="G211" s="12" t="s">
        <v>61</v>
      </c>
      <c r="H211" s="12"/>
      <c r="I211" s="12"/>
      <c r="J211" s="12"/>
      <c r="K211" s="12"/>
      <c r="L211" s="12"/>
      <c r="M211" s="12"/>
      <c r="N211" s="12"/>
      <c r="O211" s="12"/>
      <c r="P211" s="14"/>
    </row>
    <row r="212" spans="1:16" ht="15.75">
      <c r="A212" s="15"/>
      <c r="B212" s="12"/>
      <c r="C212" s="12"/>
      <c r="D212" s="12" t="s">
        <v>40</v>
      </c>
      <c r="E212" s="12"/>
      <c r="F212" s="70">
        <v>0</v>
      </c>
      <c r="G212" s="12" t="s">
        <v>61</v>
      </c>
      <c r="H212" s="12"/>
      <c r="I212" s="12"/>
      <c r="J212" s="12"/>
      <c r="K212" s="12"/>
      <c r="L212" s="12"/>
      <c r="M212" s="12"/>
      <c r="N212" s="12"/>
      <c r="O212" s="12"/>
      <c r="P212" s="14"/>
    </row>
    <row r="213" spans="1:16" ht="15.75">
      <c r="A213" s="15"/>
      <c r="B213" s="12"/>
      <c r="C213" s="12"/>
      <c r="D213" s="12" t="s">
        <v>44</v>
      </c>
      <c r="E213" s="12" t="s">
        <v>203</v>
      </c>
      <c r="F213" s="102">
        <v>0</v>
      </c>
      <c r="G213" s="19" t="str">
        <f>IF(F213=1,"l'entrée du comparateur à changée ","l'entrée du comparateur n'à  PAS changée ")</f>
        <v>l'entrée du comparateur n'à  PAS changée </v>
      </c>
      <c r="H213" s="12"/>
      <c r="I213" s="12"/>
      <c r="J213" s="12"/>
      <c r="K213" s="12"/>
      <c r="L213" s="12"/>
      <c r="M213" s="12"/>
      <c r="N213" s="12"/>
      <c r="O213" s="12"/>
      <c r="P213" s="14"/>
    </row>
    <row r="214" spans="1:16" ht="15.75">
      <c r="A214" s="15"/>
      <c r="B214" s="12"/>
      <c r="C214" s="12"/>
      <c r="D214" s="12" t="s">
        <v>46</v>
      </c>
      <c r="E214" s="12"/>
      <c r="F214" s="70">
        <v>0</v>
      </c>
      <c r="G214" s="12"/>
      <c r="H214" s="12"/>
      <c r="I214" s="12"/>
      <c r="J214" s="12"/>
      <c r="K214" s="12"/>
      <c r="L214" s="12"/>
      <c r="M214" s="12"/>
      <c r="N214" s="12"/>
      <c r="O214" s="12"/>
      <c r="P214" s="14"/>
    </row>
    <row r="215" spans="1:16" ht="15.75">
      <c r="A215" s="15"/>
      <c r="B215" s="12"/>
      <c r="C215" s="12"/>
      <c r="D215" s="12" t="s">
        <v>49</v>
      </c>
      <c r="E215" s="12"/>
      <c r="F215" s="70">
        <v>0</v>
      </c>
      <c r="G215" s="12"/>
      <c r="H215" s="12"/>
      <c r="I215" s="12"/>
      <c r="J215" s="12"/>
      <c r="K215" s="12"/>
      <c r="L215" s="12"/>
      <c r="M215" s="12"/>
      <c r="N215" s="12"/>
      <c r="O215" s="12"/>
      <c r="P215" s="14"/>
    </row>
    <row r="216" spans="1:16" ht="16.5" thickBot="1">
      <c r="A216" s="15"/>
      <c r="B216" s="12"/>
      <c r="C216" s="12"/>
      <c r="D216" s="12" t="s">
        <v>53</v>
      </c>
      <c r="E216" s="12" t="s">
        <v>204</v>
      </c>
      <c r="F216" s="106">
        <v>0</v>
      </c>
      <c r="G216" s="19" t="str">
        <f>IF(F216=1,"Débordement du TIMER1 ","PAS de Débordement du TIMER1 ")</f>
        <v>PAS de Débordement du TIMER1 </v>
      </c>
      <c r="H216" s="12"/>
      <c r="I216" s="12"/>
      <c r="J216" s="12"/>
      <c r="K216" s="12"/>
      <c r="L216" s="12"/>
      <c r="M216" s="12"/>
      <c r="N216" s="12"/>
      <c r="O216" s="12"/>
      <c r="P216" s="14"/>
    </row>
    <row r="217" spans="1:16" ht="15.75">
      <c r="A217" s="15"/>
      <c r="B217" s="12"/>
      <c r="C217" s="12"/>
      <c r="D217" s="12"/>
      <c r="E217" s="12"/>
      <c r="F217" s="107"/>
      <c r="G217" s="19"/>
      <c r="H217" s="12"/>
      <c r="I217" s="12"/>
      <c r="J217" s="12"/>
      <c r="K217" s="12"/>
      <c r="L217" s="12"/>
      <c r="M217" s="12"/>
      <c r="N217" s="12"/>
      <c r="O217" s="12"/>
      <c r="P217" s="14"/>
    </row>
    <row r="218" spans="1:16" ht="15.75">
      <c r="A218" s="15"/>
      <c r="B218" s="12"/>
      <c r="C218" s="12"/>
      <c r="D218" s="13" t="s">
        <v>205</v>
      </c>
      <c r="E218" s="12"/>
      <c r="F218" s="107"/>
      <c r="G218" s="37" t="str">
        <f>"  b'"&amp;F209&amp;F210&amp;F211&amp;F212&amp;F213&amp;F214&amp;F215&amp;F216&amp;"'"</f>
        <v>  b'00000000'</v>
      </c>
      <c r="H218" s="54" t="s">
        <v>206</v>
      </c>
      <c r="I218" s="13" t="str">
        <f>"  %"&amp;F209&amp;F210&amp;F211&amp;F212&amp;F213&amp;F214&amp;F215&amp;F216</f>
        <v>  %00000000</v>
      </c>
      <c r="J218" s="12"/>
      <c r="K218" s="12"/>
      <c r="L218" s="12"/>
      <c r="M218" s="12"/>
      <c r="N218" s="12"/>
      <c r="O218" s="12"/>
      <c r="P218" s="14"/>
    </row>
    <row r="219" spans="1:16" ht="15.75">
      <c r="A219" s="38"/>
      <c r="B219" s="39"/>
      <c r="C219" s="39"/>
      <c r="D219" s="39"/>
      <c r="E219" s="39"/>
      <c r="F219" s="108"/>
      <c r="G219" s="109"/>
      <c r="H219" s="39"/>
      <c r="I219" s="39"/>
      <c r="J219" s="39"/>
      <c r="K219" s="39"/>
      <c r="L219" s="39"/>
      <c r="M219" s="39"/>
      <c r="N219" s="39"/>
      <c r="O219" s="39"/>
      <c r="P219" s="40"/>
    </row>
    <row r="220" spans="1:13" ht="15.75">
      <c r="A220" s="110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1:13" ht="15.75">
      <c r="A221" s="110" t="s">
        <v>215</v>
      </c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1:13" ht="15.75">
      <c r="A222" s="110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ht="15.75">
      <c r="A223" s="2" t="s">
        <v>207</v>
      </c>
    </row>
    <row r="226" ht="12.75">
      <c r="A226" t="s">
        <v>208</v>
      </c>
    </row>
    <row r="227" ht="12.75">
      <c r="A227" t="s">
        <v>209</v>
      </c>
    </row>
    <row r="229" ht="12.75">
      <c r="A229" t="str">
        <f>B24</f>
        <v>__CONFIG    _CP_OFF &amp; _CPD_OFF &amp; _BODEN_OFF &amp; _MCLRE_OFF &amp; _PWRTE_OFF &amp; _WDT_OFF &amp; _INTRC_OSC_NOCLKOUT</v>
      </c>
    </row>
    <row r="232" ht="12.75">
      <c r="A232" t="str">
        <f>D43&amp;G43</f>
        <v>OPTIONVAL    EQU  b'10000001'</v>
      </c>
    </row>
    <row r="233" ht="12.75">
      <c r="A233" t="str">
        <f>D57&amp;G57</f>
        <v>TRISIOVAL      EQU  b'00111000'</v>
      </c>
    </row>
    <row r="234" ht="12.75">
      <c r="A234" t="str">
        <f>D70&amp;G70</f>
        <v>WPUVAL         EQU  b'00000000'</v>
      </c>
    </row>
    <row r="235" ht="12.75">
      <c r="A235" t="str">
        <f>D79&amp;G79</f>
        <v>OSCCALVAL   EQU  b'10000000'</v>
      </c>
    </row>
    <row r="236" ht="12.75">
      <c r="A236" t="str">
        <f>D94&amp;G94</f>
        <v>INTCONVAL     EQU  b'00000000'</v>
      </c>
    </row>
    <row r="237" ht="12.75">
      <c r="A237" t="str">
        <f>D107&amp;G107</f>
        <v>IOCVAL           EQU  b'00000000'</v>
      </c>
    </row>
    <row r="238" ht="12.75">
      <c r="A238" t="str">
        <f>D120&amp;G120</f>
        <v>PIE1VAL          EQU  b'00000000'</v>
      </c>
    </row>
    <row r="239" ht="12.75">
      <c r="A239" t="str">
        <f>D139&amp;G139</f>
        <v>CMCONVAL    EQU  b'00000111'</v>
      </c>
    </row>
    <row r="240" ht="12.75">
      <c r="A240" t="str">
        <f>D155&amp;G155</f>
        <v>VRCONVAL    EQU  b'00001101'</v>
      </c>
    </row>
    <row r="241" ht="12.75">
      <c r="A241" t="str">
        <f>D170&amp;G170</f>
        <v>T1CONAL        EQU  b'00100001'</v>
      </c>
    </row>
    <row r="242" ht="12.75">
      <c r="A242" t="str">
        <f>D186&amp;G186</f>
        <v>ADCON0        EQU  b'00001101'</v>
      </c>
    </row>
    <row r="243" ht="12.75">
      <c r="A243" t="str">
        <f>D202&amp;G202</f>
        <v>ANSEL         EQU  b'00010001'</v>
      </c>
    </row>
    <row r="244" ht="12.75">
      <c r="A244" t="str">
        <f>D218&amp;G218</f>
        <v>PIR1        EQU  b'00000000'</v>
      </c>
    </row>
    <row r="247" ht="15.75">
      <c r="A247" s="110" t="s">
        <v>210</v>
      </c>
    </row>
    <row r="250" ht="15.75">
      <c r="A250" s="2" t="s">
        <v>211</v>
      </c>
    </row>
    <row r="252" ht="12.75">
      <c r="A252" t="str">
        <f>H43&amp;I43</f>
        <v>OPTION_REG =  %10000001</v>
      </c>
    </row>
    <row r="253" ht="12.75">
      <c r="A253" t="str">
        <f>H57&amp;I57</f>
        <v>TRISIO=  %00111000</v>
      </c>
    </row>
    <row r="254" ht="12.75">
      <c r="A254" t="str">
        <f>H70&amp;I70</f>
        <v>WPU=  %00000000</v>
      </c>
    </row>
    <row r="255" ht="12.75">
      <c r="A255" t="str">
        <f>H79&amp;I79</f>
        <v>OSCCAL=  %10000000</v>
      </c>
    </row>
    <row r="256" ht="12.75">
      <c r="A256" t="str">
        <f>H94&amp;I94</f>
        <v>INTCON=  %00000000</v>
      </c>
    </row>
    <row r="257" ht="12.75">
      <c r="A257" t="str">
        <f>H107&amp;I107</f>
        <v>IOC=  %00000000</v>
      </c>
    </row>
    <row r="258" ht="12.75">
      <c r="A258" t="str">
        <f>H120&amp;I120</f>
        <v>PIE1=  %00000000</v>
      </c>
    </row>
    <row r="259" ht="12.75">
      <c r="A259" t="str">
        <f>H139&amp;I139</f>
        <v>CMCON  %00000111</v>
      </c>
    </row>
    <row r="260" ht="12.75">
      <c r="A260" t="str">
        <f>H155&amp;I155</f>
        <v>VRCON=  %00001101</v>
      </c>
    </row>
    <row r="261" ht="12.75">
      <c r="A261" t="str">
        <f>H170&amp;I170</f>
        <v>T1CON=  %00100001</v>
      </c>
    </row>
    <row r="262" ht="12.75">
      <c r="A262" t="str">
        <f>H186&amp;I186</f>
        <v>ADCON0=  %00001101</v>
      </c>
    </row>
    <row r="263" ht="12.75">
      <c r="A263" t="str">
        <f>H202&amp;I202</f>
        <v>ANSEL=  %00010001</v>
      </c>
    </row>
    <row r="264" ht="12.75">
      <c r="A264" t="str">
        <f>H218&amp;I218</f>
        <v>PIR1=  %00000000</v>
      </c>
    </row>
    <row r="266" ht="15.75">
      <c r="A266" s="2"/>
    </row>
  </sheetData>
  <conditionalFormatting sqref="D8:D9">
    <cfRule type="cellIs" priority="1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8"/>
  <sheetViews>
    <sheetView workbookViewId="0" topLeftCell="A1">
      <selection activeCell="A1" sqref="A1:IV16384"/>
    </sheetView>
  </sheetViews>
  <sheetFormatPr defaultColWidth="11.421875" defaultRowHeight="12.75"/>
  <cols>
    <col min="1" max="1" width="26.7109375" style="0" customWidth="1"/>
    <col min="2" max="2" width="9.57421875" style="0" customWidth="1"/>
    <col min="4" max="4" width="19.421875" style="0" customWidth="1"/>
    <col min="5" max="5" width="14.140625" style="0" customWidth="1"/>
    <col min="6" max="6" width="7.00390625" style="0" customWidth="1"/>
    <col min="7" max="7" width="16.00390625" style="0" customWidth="1"/>
    <col min="8" max="8" width="6.57421875" style="0" customWidth="1"/>
    <col min="9" max="9" width="14.7109375" style="0" customWidth="1"/>
    <col min="10" max="10" width="4.7109375" style="0" customWidth="1"/>
    <col min="11" max="11" width="8.57421875" style="0" customWidth="1"/>
    <col min="12" max="12" width="11.57421875" style="0" customWidth="1"/>
    <col min="13" max="13" width="27.7109375" style="0" customWidth="1"/>
    <col min="19" max="19" width="3.7109375" style="0" customWidth="1"/>
    <col min="20" max="20" width="8.57421875" style="0" customWidth="1"/>
    <col min="21" max="21" width="10.140625" style="0" customWidth="1"/>
  </cols>
  <sheetData>
    <row r="1" spans="1:13" ht="12.75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</row>
    <row r="2" spans="1:13" ht="18">
      <c r="A2" s="115"/>
      <c r="B2" s="12"/>
      <c r="C2" s="12"/>
      <c r="D2" s="12"/>
      <c r="E2" s="116" t="s">
        <v>217</v>
      </c>
      <c r="F2" s="12"/>
      <c r="G2" s="12"/>
      <c r="H2" s="12"/>
      <c r="I2" s="12"/>
      <c r="J2" s="12"/>
      <c r="K2" s="12"/>
      <c r="L2" s="12"/>
      <c r="M2" s="117"/>
    </row>
    <row r="3" spans="1:13" ht="13.5" thickBot="1">
      <c r="A3" s="118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17"/>
    </row>
    <row r="4" spans="1:13" ht="16.5" thickBot="1">
      <c r="A4" s="119" t="s">
        <v>218</v>
      </c>
      <c r="B4" s="120"/>
      <c r="C4" s="121"/>
      <c r="D4" s="121"/>
      <c r="E4" s="121"/>
      <c r="F4" s="121"/>
      <c r="G4" s="121"/>
      <c r="H4" s="121"/>
      <c r="I4" s="122"/>
      <c r="J4" s="12"/>
      <c r="K4" s="12"/>
      <c r="L4" s="12"/>
      <c r="M4" s="117"/>
    </row>
    <row r="5" spans="1:13" ht="15.75">
      <c r="A5" s="123" t="s">
        <v>219</v>
      </c>
      <c r="B5" s="12"/>
      <c r="C5" s="12"/>
      <c r="D5" s="13" t="s">
        <v>220</v>
      </c>
      <c r="E5" s="24"/>
      <c r="F5" s="12"/>
      <c r="G5" s="12"/>
      <c r="H5" s="12"/>
      <c r="I5" s="12"/>
      <c r="J5" s="12"/>
      <c r="K5" s="12"/>
      <c r="L5" s="12"/>
      <c r="M5" s="117"/>
    </row>
    <row r="6" spans="1:13" ht="12.75">
      <c r="A6" s="124"/>
      <c r="B6" s="12"/>
      <c r="C6" s="12"/>
      <c r="D6" s="12"/>
      <c r="E6" s="24"/>
      <c r="F6" s="12"/>
      <c r="G6" s="12"/>
      <c r="H6" s="12"/>
      <c r="I6" s="12"/>
      <c r="J6" s="12"/>
      <c r="K6" s="12" t="s">
        <v>221</v>
      </c>
      <c r="L6" s="12"/>
      <c r="M6" s="117"/>
    </row>
    <row r="7" spans="1:13" ht="13.5" thickBot="1">
      <c r="A7" s="125"/>
      <c r="B7" s="12"/>
      <c r="C7" s="12"/>
      <c r="D7" s="12"/>
      <c r="E7" s="12"/>
      <c r="F7" s="12"/>
      <c r="G7" s="12"/>
      <c r="H7" s="12"/>
      <c r="I7" s="12"/>
      <c r="J7" s="12"/>
      <c r="K7" s="12" t="s">
        <v>222</v>
      </c>
      <c r="L7" s="12"/>
      <c r="M7" s="117"/>
    </row>
    <row r="8" spans="1:13" ht="12.75">
      <c r="A8" s="125" t="s">
        <v>3</v>
      </c>
      <c r="B8" s="12"/>
      <c r="C8" s="12"/>
      <c r="D8" s="126">
        <v>0</v>
      </c>
      <c r="E8" s="12" t="str">
        <f>IF(D8=1,"_CP_ON","_CP_OFF")</f>
        <v>_CP_OFF</v>
      </c>
      <c r="F8" s="12" t="str">
        <f>IF(D8=1,"Protection totale","Pas de protection")</f>
        <v>Pas de protection</v>
      </c>
      <c r="G8" s="12"/>
      <c r="H8" s="12" t="str">
        <f>IF($D$8=1,"000F","3FFF")</f>
        <v>3FFF</v>
      </c>
      <c r="I8" s="12">
        <f>_XLL.HEXDEC(H8)</f>
        <v>16383</v>
      </c>
      <c r="J8" s="12"/>
      <c r="K8" s="127" t="s">
        <v>223</v>
      </c>
      <c r="L8" s="12"/>
      <c r="M8" s="117"/>
    </row>
    <row r="9" spans="1:13" ht="12.75">
      <c r="A9" s="125" t="s">
        <v>7</v>
      </c>
      <c r="B9" s="12"/>
      <c r="C9" s="12"/>
      <c r="D9" s="128">
        <v>1</v>
      </c>
      <c r="E9" s="12" t="str">
        <f>IF(D9=1,"_PWRTE_ON","_PWRTE_OFF")</f>
        <v>_PWRTE_ON</v>
      </c>
      <c r="F9" s="12" t="str">
        <f>IF(D9=0,"Demarrage rapide","Demarrage temporisé 72µs")</f>
        <v>Demarrage temporisé 72µs</v>
      </c>
      <c r="G9" s="12"/>
      <c r="H9" s="12" t="str">
        <f>IF($D$9=0,"3FFF","3FF7")</f>
        <v>3FF7</v>
      </c>
      <c r="I9" s="12">
        <f>_XLL.HEXDEC(H9)</f>
        <v>16375</v>
      </c>
      <c r="J9" s="12"/>
      <c r="K9" s="129" t="s">
        <v>44</v>
      </c>
      <c r="L9" s="12"/>
      <c r="M9" s="117"/>
    </row>
    <row r="10" spans="1:13" ht="12.75">
      <c r="A10" s="125" t="s">
        <v>8</v>
      </c>
      <c r="B10" s="12"/>
      <c r="C10" s="12"/>
      <c r="D10" s="130">
        <v>1</v>
      </c>
      <c r="E10" s="12" t="str">
        <f>IF(D10=1,"_WDT_ON","_WDT_OFF")</f>
        <v>_WDT_ON</v>
      </c>
      <c r="F10" s="12" t="str">
        <f>IF(D10=1,"Watchdog en service","Watchdog hors service")</f>
        <v>Watchdog en service</v>
      </c>
      <c r="G10" s="12"/>
      <c r="H10" s="12" t="str">
        <f>IF($D$10=1,"3FFF","3FFB")</f>
        <v>3FFF</v>
      </c>
      <c r="I10" s="12">
        <f>_XLL.HEXDEC(H10)</f>
        <v>16383</v>
      </c>
      <c r="J10" s="12"/>
      <c r="K10" s="131" t="s">
        <v>46</v>
      </c>
      <c r="L10" s="12"/>
      <c r="M10" s="117"/>
    </row>
    <row r="11" spans="1:13" ht="13.5" thickBot="1">
      <c r="A11" s="125" t="s">
        <v>224</v>
      </c>
      <c r="B11" s="12"/>
      <c r="C11" s="12"/>
      <c r="D11" s="7">
        <v>1</v>
      </c>
      <c r="E11" s="12" t="str">
        <f>IF(D11=0,G13,IF(D11=F14,G14,IF(D11=F15,G15,IF(D11=F16,G16,IF(D11=F17,G17,IF(D11=F20,G20,IF(D11=F21,G14,IF(D11=F24,G24))))))))</f>
        <v>_XT_OSC</v>
      </c>
      <c r="F11" s="12" t="s">
        <v>225</v>
      </c>
      <c r="G11" s="12"/>
      <c r="H11" s="12" t="str">
        <f>IF($D$11=0,H13,IF($D$11=1,H14,IF($D$11=2,H15,IF($D$11=3,H16,IF($D$11=5,E12,IF($D11=6,H20,IF($D$11=7,E12,IF($D$11=8,E12,E12))))))))</f>
        <v>3FFD</v>
      </c>
      <c r="I11" s="12">
        <f>_XLL.HEXDEC(H11)</f>
        <v>16381</v>
      </c>
      <c r="J11" s="12"/>
      <c r="K11" s="7" t="s">
        <v>226</v>
      </c>
      <c r="L11" s="12"/>
      <c r="M11" s="117"/>
    </row>
    <row r="12" spans="1:13" ht="18" customHeight="1">
      <c r="A12" s="125"/>
      <c r="B12" s="12"/>
      <c r="C12" s="12"/>
      <c r="D12" s="12"/>
      <c r="E12" s="132">
        <v>1</v>
      </c>
      <c r="F12" s="26"/>
      <c r="G12" s="26"/>
      <c r="H12" s="133" t="str">
        <f>_XLL.DECHEX(I12)</f>
        <v>3FF5</v>
      </c>
      <c r="I12" s="26">
        <v>16373</v>
      </c>
      <c r="J12" s="12"/>
      <c r="K12" s="12" t="s">
        <v>227</v>
      </c>
      <c r="L12" s="12"/>
      <c r="M12" s="117"/>
    </row>
    <row r="13" spans="1:13" ht="12.75">
      <c r="A13" s="125"/>
      <c r="B13" s="32"/>
      <c r="C13" s="12"/>
      <c r="D13" s="12"/>
      <c r="E13" s="12"/>
      <c r="F13" s="134">
        <v>0</v>
      </c>
      <c r="G13" s="12" t="s">
        <v>228</v>
      </c>
      <c r="H13" s="12" t="s">
        <v>229</v>
      </c>
      <c r="I13" s="12">
        <f>_XLL.HEXDEC(H13)</f>
        <v>16380</v>
      </c>
      <c r="J13" s="12"/>
      <c r="K13" s="12"/>
      <c r="L13" s="12"/>
      <c r="M13" s="117"/>
    </row>
    <row r="14" spans="1:13" ht="15.75">
      <c r="A14" s="123" t="s">
        <v>230</v>
      </c>
      <c r="B14" s="12"/>
      <c r="C14" s="12"/>
      <c r="D14" s="12"/>
      <c r="E14" s="12"/>
      <c r="F14" s="134">
        <v>1</v>
      </c>
      <c r="G14" s="12" t="s">
        <v>22</v>
      </c>
      <c r="H14" s="12" t="s">
        <v>231</v>
      </c>
      <c r="I14" s="12">
        <f>_XLL.HEXDEC(H14)</f>
        <v>16381</v>
      </c>
      <c r="J14" s="12"/>
      <c r="K14" s="12"/>
      <c r="L14" s="12"/>
      <c r="M14" s="117"/>
    </row>
    <row r="15" spans="1:13" ht="12.75">
      <c r="A15" s="125"/>
      <c r="B15" s="12"/>
      <c r="C15" s="12"/>
      <c r="D15" s="12"/>
      <c r="E15" s="12"/>
      <c r="F15" s="134">
        <v>2</v>
      </c>
      <c r="G15" s="12" t="s">
        <v>24</v>
      </c>
      <c r="H15" s="12" t="s">
        <v>232</v>
      </c>
      <c r="I15" s="12">
        <f>_XLL.HEXDEC(H15)</f>
        <v>16382</v>
      </c>
      <c r="J15" s="12"/>
      <c r="K15" s="12"/>
      <c r="L15" s="12"/>
      <c r="M15" s="117"/>
    </row>
    <row r="16" spans="1:18" ht="15.75">
      <c r="A16" s="123" t="s">
        <v>233</v>
      </c>
      <c r="B16" s="12"/>
      <c r="C16" s="37" t="str">
        <f>"__CONFIG  "&amp;$H$12</f>
        <v>__CONFIG  3FF5</v>
      </c>
      <c r="D16" s="12"/>
      <c r="E16" s="12"/>
      <c r="F16" s="134">
        <v>3</v>
      </c>
      <c r="G16" s="12" t="s">
        <v>234</v>
      </c>
      <c r="H16" s="12" t="s">
        <v>235</v>
      </c>
      <c r="I16" s="12">
        <f>_XLL.HEXDEC(H16)</f>
        <v>16383</v>
      </c>
      <c r="J16" s="12"/>
      <c r="K16" s="12"/>
      <c r="L16" s="12"/>
      <c r="M16" s="117"/>
      <c r="O16" s="135"/>
      <c r="P16" s="135"/>
      <c r="Q16" s="41" t="s">
        <v>236</v>
      </c>
      <c r="R16" s="11"/>
    </row>
    <row r="17" spans="1:18" ht="12.75">
      <c r="A17" s="12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17"/>
      <c r="O17" s="136"/>
      <c r="P17" s="136"/>
      <c r="R17" s="14"/>
    </row>
    <row r="18" spans="1:17" ht="13.5" thickBot="1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9"/>
      <c r="Q18" t="s">
        <v>237</v>
      </c>
    </row>
    <row r="19" spans="1:17" ht="12.75">
      <c r="A19" s="135" t="s">
        <v>238</v>
      </c>
      <c r="Q19" s="15" t="s">
        <v>239</v>
      </c>
    </row>
    <row r="20" spans="1:18" ht="12.75">
      <c r="A20" s="140" t="s">
        <v>240</v>
      </c>
      <c r="E20" s="41" t="s">
        <v>241</v>
      </c>
      <c r="F20" s="10"/>
      <c r="G20" s="10"/>
      <c r="H20" s="10"/>
      <c r="I20" s="10"/>
      <c r="J20" s="10"/>
      <c r="K20" s="10"/>
      <c r="L20" s="10"/>
      <c r="M20" s="10"/>
      <c r="N20" s="11"/>
      <c r="O20" s="136" t="s">
        <v>242</v>
      </c>
      <c r="P20" s="136" t="s">
        <v>243</v>
      </c>
      <c r="Q20" s="15" t="s">
        <v>244</v>
      </c>
      <c r="R20" s="14"/>
    </row>
    <row r="21" spans="1:20" ht="15">
      <c r="A21" s="141" t="s">
        <v>245</v>
      </c>
      <c r="E21" s="15"/>
      <c r="F21" s="12"/>
      <c r="G21" s="12"/>
      <c r="H21" s="12"/>
      <c r="I21" s="12"/>
      <c r="J21" s="12"/>
      <c r="K21" s="12"/>
      <c r="L21" s="12"/>
      <c r="M21" s="12"/>
      <c r="N21" s="14"/>
      <c r="O21" s="136" t="s">
        <v>246</v>
      </c>
      <c r="P21" s="136" t="s">
        <v>247</v>
      </c>
      <c r="Q21" s="15" t="s">
        <v>248</v>
      </c>
      <c r="R21" s="14"/>
      <c r="T21" s="142"/>
    </row>
    <row r="22" spans="5:18" ht="12.75" hidden="1">
      <c r="E22" s="38" t="s">
        <v>249</v>
      </c>
      <c r="F22" s="39" t="s">
        <v>249</v>
      </c>
      <c r="G22" s="39" t="s">
        <v>249</v>
      </c>
      <c r="H22" s="39" t="s">
        <v>249</v>
      </c>
      <c r="I22" s="39" t="s">
        <v>249</v>
      </c>
      <c r="J22" s="39" t="s">
        <v>249</v>
      </c>
      <c r="K22" s="39" t="s">
        <v>249</v>
      </c>
      <c r="L22" s="39" t="s">
        <v>249</v>
      </c>
      <c r="M22" s="39" t="s">
        <v>249</v>
      </c>
      <c r="N22" s="40" t="s">
        <v>249</v>
      </c>
      <c r="O22" s="136" t="s">
        <v>250</v>
      </c>
      <c r="P22" s="143" t="s">
        <v>251</v>
      </c>
      <c r="Q22" s="15" t="s">
        <v>252</v>
      </c>
      <c r="R22" s="14"/>
    </row>
    <row r="23" spans="3:20" ht="15.75" thickBot="1">
      <c r="C23" s="12" t="s">
        <v>221</v>
      </c>
      <c r="E23" s="127" t="s">
        <v>253</v>
      </c>
      <c r="F23" s="127" t="s">
        <v>254</v>
      </c>
      <c r="G23" s="127" t="s">
        <v>255</v>
      </c>
      <c r="H23" s="127" t="s">
        <v>256</v>
      </c>
      <c r="I23" s="127" t="s">
        <v>257</v>
      </c>
      <c r="J23" s="127" t="s">
        <v>258</v>
      </c>
      <c r="K23" s="127" t="s">
        <v>60</v>
      </c>
      <c r="L23" s="127" t="s">
        <v>34</v>
      </c>
      <c r="M23" s="127" t="s">
        <v>37</v>
      </c>
      <c r="N23" s="127" t="s">
        <v>40</v>
      </c>
      <c r="O23" s="129" t="s">
        <v>44</v>
      </c>
      <c r="P23" s="131" t="s">
        <v>46</v>
      </c>
      <c r="Q23" s="7" t="s">
        <v>49</v>
      </c>
      <c r="R23" s="7" t="s">
        <v>53</v>
      </c>
      <c r="T23" s="142"/>
    </row>
    <row r="24" spans="1:20" ht="19.5" customHeight="1" hidden="1">
      <c r="A24" s="144"/>
      <c r="C24" s="2"/>
      <c r="E24" s="2">
        <f>INT(T25/2)</f>
        <v>8188</v>
      </c>
      <c r="F24" s="2">
        <f aca="true" t="shared" si="0" ref="F24:R24">INT(E24/2)</f>
        <v>4094</v>
      </c>
      <c r="G24" s="2">
        <f t="shared" si="0"/>
        <v>2047</v>
      </c>
      <c r="H24" s="2">
        <f t="shared" si="0"/>
        <v>1023</v>
      </c>
      <c r="I24" s="2">
        <f t="shared" si="0"/>
        <v>511</v>
      </c>
      <c r="J24" s="2">
        <f t="shared" si="0"/>
        <v>255</v>
      </c>
      <c r="K24" s="2">
        <f t="shared" si="0"/>
        <v>127</v>
      </c>
      <c r="L24" s="2">
        <f t="shared" si="0"/>
        <v>63</v>
      </c>
      <c r="M24" s="2">
        <f t="shared" si="0"/>
        <v>31</v>
      </c>
      <c r="N24" s="2">
        <f t="shared" si="0"/>
        <v>15</v>
      </c>
      <c r="O24" s="145">
        <f t="shared" si="0"/>
        <v>7</v>
      </c>
      <c r="P24" s="145">
        <f t="shared" si="0"/>
        <v>3</v>
      </c>
      <c r="Q24" s="146">
        <f t="shared" si="0"/>
        <v>1</v>
      </c>
      <c r="R24" s="147">
        <f t="shared" si="0"/>
        <v>0</v>
      </c>
      <c r="T24" s="142"/>
    </row>
    <row r="25" spans="1:21" ht="16.5" thickBot="1">
      <c r="A25" s="148" t="s">
        <v>259</v>
      </c>
      <c r="B25">
        <v>1</v>
      </c>
      <c r="C25" s="110"/>
      <c r="D25" s="110"/>
      <c r="E25" s="110">
        <f>Q24-INT(Q24/2)*2</f>
        <v>1</v>
      </c>
      <c r="F25" s="110">
        <f>P24-INT(P24/2)*2</f>
        <v>1</v>
      </c>
      <c r="G25" s="110">
        <f>O24-INT(O24/2)*2</f>
        <v>1</v>
      </c>
      <c r="H25" s="110">
        <f>N24-INT(N24/2)*2</f>
        <v>1</v>
      </c>
      <c r="I25" s="110">
        <f>M24-INT(M24/2)*2</f>
        <v>1</v>
      </c>
      <c r="J25" s="110">
        <f>L24-INT(L24/2)*2</f>
        <v>1</v>
      </c>
      <c r="K25" s="110">
        <f>K24-INT(K24/2)*2</f>
        <v>1</v>
      </c>
      <c r="L25" s="110">
        <f>J24-INT(J24/2)*2</f>
        <v>1</v>
      </c>
      <c r="M25" s="110">
        <f>I24-INT(I24/2)*2</f>
        <v>1</v>
      </c>
      <c r="N25" s="110">
        <f>H24-INT(H24/2)*2</f>
        <v>1</v>
      </c>
      <c r="O25" s="149">
        <f>G24-INT(G24/2)*2</f>
        <v>1</v>
      </c>
      <c r="P25" s="149">
        <f>F24-INT(F24/2)*2</f>
        <v>0</v>
      </c>
      <c r="Q25" s="149">
        <f>E24-INT(E24/2)*2</f>
        <v>0</v>
      </c>
      <c r="R25" s="149">
        <f>T25-INT(T25/2)*2</f>
        <v>1</v>
      </c>
      <c r="T25" s="150">
        <f>_XLL.HEXDEC(A25)</f>
        <v>16377</v>
      </c>
      <c r="U25" s="151" t="str">
        <f>_XLL.DECHEX(T25)</f>
        <v>3FF9</v>
      </c>
    </row>
    <row r="26" ht="15.75">
      <c r="A26" s="152">
        <f>E25*10000000000000+F25*1000000000000+G25*100000000000+H25*10000000000+I25*1000000000+J25*100000000+K25*10000000+L25*1000000+M25*100000+N25*10000+O25*1000+P25*100+Q25*10+R25</f>
        <v>11111111111001</v>
      </c>
    </row>
    <row r="27" spans="1:2" ht="15.75">
      <c r="A27" s="2" t="s">
        <v>26</v>
      </c>
      <c r="B27" t="str">
        <f>"__CONFIG    "&amp;E8&amp;"  &amp; "&amp;E9&amp;"  &amp; "&amp;E10&amp;"  &amp; "&amp;E11</f>
        <v>__CONFIG    _CP_OFF  &amp; _PWRTE_ON  &amp; _WDT_ON  &amp; _XT_OSC</v>
      </c>
    </row>
    <row r="28" ht="12.75" hidden="1"/>
    <row r="29" spans="1:13" ht="12.75" hidden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</row>
    <row r="30" spans="1:13" ht="15.75" hidden="1">
      <c r="A30" s="2" t="s">
        <v>27</v>
      </c>
      <c r="B30" s="12"/>
      <c r="C30" s="12"/>
      <c r="D30" s="12"/>
      <c r="E30" s="13" t="s">
        <v>2</v>
      </c>
      <c r="F30" s="13"/>
      <c r="G30" s="12"/>
      <c r="H30" s="12"/>
      <c r="I30" s="12"/>
      <c r="J30" s="12"/>
      <c r="K30" s="12"/>
      <c r="L30" s="12"/>
      <c r="M30" s="14"/>
    </row>
    <row r="31" spans="1:13" ht="12.75" hidden="1">
      <c r="A31" s="15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4"/>
    </row>
    <row r="32" spans="1:13" ht="12.75" hidden="1">
      <c r="A32" s="15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4"/>
    </row>
    <row r="33" spans="1:13" ht="12.75" hidden="1">
      <c r="A33" s="15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4"/>
    </row>
    <row r="34" spans="1:13" ht="12.75" hidden="1">
      <c r="A34" s="15"/>
      <c r="B34" s="12"/>
      <c r="C34" s="16" t="s">
        <v>28</v>
      </c>
      <c r="D34" s="13" t="s">
        <v>29</v>
      </c>
      <c r="E34" s="12"/>
      <c r="F34" s="12"/>
      <c r="G34" s="12"/>
      <c r="H34" s="12"/>
      <c r="I34" s="12"/>
      <c r="J34" s="12"/>
      <c r="K34" s="12"/>
      <c r="L34" s="12"/>
      <c r="M34" s="14"/>
    </row>
    <row r="35" spans="1:13" ht="12.75" hidden="1">
      <c r="A35" s="15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4"/>
    </row>
    <row r="36" spans="1:13" ht="15.75" hidden="1">
      <c r="A36" s="15" t="s">
        <v>30</v>
      </c>
      <c r="B36" s="12"/>
      <c r="C36" s="12">
        <v>0.065536</v>
      </c>
      <c r="D36" s="12" t="s">
        <v>31</v>
      </c>
      <c r="E36" s="12" t="s">
        <v>32</v>
      </c>
      <c r="F36" s="17">
        <v>0</v>
      </c>
      <c r="G36" s="12" t="str">
        <f>IF(F36=0,"Resistance Pull-Up activées","Resistance Pull-Up désactivées")</f>
        <v>Resistance Pull-Up activées</v>
      </c>
      <c r="H36" s="12"/>
      <c r="I36" s="12"/>
      <c r="J36" s="12"/>
      <c r="K36" s="12"/>
      <c r="L36" s="12"/>
      <c r="M36" s="14"/>
    </row>
    <row r="37" spans="1:13" ht="15.75" hidden="1">
      <c r="A37" t="s">
        <v>33</v>
      </c>
      <c r="B37" s="12"/>
      <c r="C37" s="12"/>
      <c r="D37" s="12" t="s">
        <v>34</v>
      </c>
      <c r="E37" s="12" t="s">
        <v>35</v>
      </c>
      <c r="F37" s="18">
        <v>0</v>
      </c>
      <c r="G37" s="19" t="str">
        <f>IF(F37=0,"Intérruption sur front Descendant de GP2","Intérruption sur front Montant de GP2")</f>
        <v>Intérruption sur front Descendant de GP2</v>
      </c>
      <c r="H37" s="12"/>
      <c r="I37" s="12"/>
      <c r="J37" s="12"/>
      <c r="K37" s="12"/>
      <c r="L37" s="12"/>
      <c r="M37" s="14"/>
    </row>
    <row r="38" spans="1:13" ht="15.75" hidden="1">
      <c r="A38" s="20">
        <v>0.000256</v>
      </c>
      <c r="B38" s="12" t="s">
        <v>36</v>
      </c>
      <c r="C38" s="12"/>
      <c r="D38" s="21" t="s">
        <v>37</v>
      </c>
      <c r="E38" s="12" t="s">
        <v>38</v>
      </c>
      <c r="F38" s="22">
        <v>0</v>
      </c>
      <c r="G38" s="19" t="str">
        <f>IF(F38=0,"Timer 0 synchronisé par Horloge-interne","Timer 0 synchronisé par Horloge externe GP2")</f>
        <v>Timer 0 synchronisé par Horloge-interne</v>
      </c>
      <c r="H38" s="12"/>
      <c r="I38" s="12"/>
      <c r="J38" s="12"/>
      <c r="K38" s="12"/>
      <c r="L38" s="12"/>
      <c r="M38" s="14"/>
    </row>
    <row r="39" spans="1:13" ht="16.5" hidden="1" thickBot="1">
      <c r="A39" s="15" t="s">
        <v>39</v>
      </c>
      <c r="B39" s="12"/>
      <c r="C39" s="12"/>
      <c r="D39" s="12" t="s">
        <v>40</v>
      </c>
      <c r="E39" s="12" t="s">
        <v>41</v>
      </c>
      <c r="F39" s="23">
        <v>0</v>
      </c>
      <c r="G39" s="19" t="str">
        <f>IF(F39=0,"Timer 0 synchronisé sur Front-Montant GP2","Timer 0 synchronisé sur Front-Descendant GP2")</f>
        <v>Timer 0 synchronisé sur Front-Montant GP2</v>
      </c>
      <c r="H39" s="12"/>
      <c r="I39" s="12"/>
      <c r="J39" s="12"/>
      <c r="K39" s="12"/>
      <c r="L39" s="24" t="s">
        <v>42</v>
      </c>
      <c r="M39" s="14"/>
    </row>
    <row r="40" spans="1:13" ht="15.75" hidden="1">
      <c r="A40" s="15" t="s">
        <v>43</v>
      </c>
      <c r="B40" s="12"/>
      <c r="C40" s="12"/>
      <c r="D40" s="12" t="s">
        <v>44</v>
      </c>
      <c r="E40" s="12" t="s">
        <v>45</v>
      </c>
      <c r="F40" s="25">
        <v>0</v>
      </c>
      <c r="G40" s="19" t="str">
        <f>IF(F40=0,"Prédiviseur surTimer 0 ","Prédiviseur sur Watchdog")</f>
        <v>Prédiviseur surTimer 0 </v>
      </c>
      <c r="H40" s="12"/>
      <c r="I40" s="12"/>
      <c r="J40" s="26">
        <f>IF(F40=1,2,1)</f>
        <v>1</v>
      </c>
      <c r="K40" s="12"/>
      <c r="L40" s="12"/>
      <c r="M40" s="14"/>
    </row>
    <row r="41" spans="1:13" ht="15.75" hidden="1">
      <c r="A41" s="27">
        <f>A38/H41</f>
        <v>0.000512</v>
      </c>
      <c r="B41" s="12" t="s">
        <v>36</v>
      </c>
      <c r="C41" s="12"/>
      <c r="D41" s="12" t="s">
        <v>46</v>
      </c>
      <c r="E41" s="12" t="s">
        <v>47</v>
      </c>
      <c r="F41" s="28">
        <v>0</v>
      </c>
      <c r="G41" s="29" t="s">
        <v>48</v>
      </c>
      <c r="H41" s="30">
        <f>(J40/J43/J42/J41)/2</f>
        <v>0.5</v>
      </c>
      <c r="I41" s="12"/>
      <c r="J41" s="26">
        <f>IF(F41=0,1,16)</f>
        <v>1</v>
      </c>
      <c r="K41" s="12"/>
      <c r="L41" s="12"/>
      <c r="M41" s="14"/>
    </row>
    <row r="42" spans="1:13" ht="15.75" hidden="1">
      <c r="A42" s="15"/>
      <c r="B42" s="12"/>
      <c r="C42" s="12"/>
      <c r="D42" s="12" t="s">
        <v>49</v>
      </c>
      <c r="E42" s="12" t="s">
        <v>50</v>
      </c>
      <c r="F42" s="28">
        <v>0</v>
      </c>
      <c r="G42" s="16" t="s">
        <v>51</v>
      </c>
      <c r="H42" s="31" t="s">
        <v>52</v>
      </c>
      <c r="I42" s="12"/>
      <c r="J42" s="26">
        <f>IF(F42=0,1,4)</f>
        <v>1</v>
      </c>
      <c r="K42" s="12"/>
      <c r="L42" s="32"/>
      <c r="M42" s="14"/>
    </row>
    <row r="43" spans="1:13" ht="16.5" hidden="1" thickBot="1">
      <c r="A43" s="15"/>
      <c r="B43" s="12"/>
      <c r="C43" s="12"/>
      <c r="D43" s="12" t="s">
        <v>53</v>
      </c>
      <c r="E43" s="12" t="s">
        <v>54</v>
      </c>
      <c r="F43" s="33">
        <v>0</v>
      </c>
      <c r="G43" s="12"/>
      <c r="H43" s="34">
        <f>H41</f>
        <v>0.5</v>
      </c>
      <c r="I43" s="16"/>
      <c r="J43" s="26">
        <f>IF(F43=0,1,2)</f>
        <v>1</v>
      </c>
      <c r="K43" s="12"/>
      <c r="L43" s="12"/>
      <c r="M43" s="14"/>
    </row>
    <row r="44" spans="1:13" ht="15.75" hidden="1">
      <c r="A44" s="15"/>
      <c r="B44" s="12"/>
      <c r="C44" s="12"/>
      <c r="D44" s="12"/>
      <c r="E44" s="12"/>
      <c r="F44" s="35"/>
      <c r="G44" s="12"/>
      <c r="I44" s="36"/>
      <c r="J44" s="12"/>
      <c r="K44" s="12"/>
      <c r="L44" s="12"/>
      <c r="M44" s="14"/>
    </row>
    <row r="45" spans="1:13" ht="15.75" hidden="1">
      <c r="A45" s="15"/>
      <c r="B45" s="12"/>
      <c r="C45" s="12"/>
      <c r="D45" s="13" t="s">
        <v>55</v>
      </c>
      <c r="E45" s="12"/>
      <c r="F45" s="35"/>
      <c r="G45" s="37" t="str">
        <f>"  b'"&amp;F36&amp;F37&amp;F38&amp;F39&amp;F40&amp;F41&amp;F42&amp;F43&amp;"'"</f>
        <v>  b'00000000'</v>
      </c>
      <c r="H45" t="s">
        <v>56</v>
      </c>
      <c r="I45" t="str">
        <f>"  %"&amp;F36&amp;F37&amp;F38&amp;F39&amp;F40&amp;F41&amp;F42&amp;F43</f>
        <v>  %00000000</v>
      </c>
      <c r="J45" s="12"/>
      <c r="K45" s="12"/>
      <c r="L45" s="12"/>
      <c r="M45" s="14"/>
    </row>
    <row r="46" spans="1:13" ht="12.75" hidden="1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40"/>
    </row>
    <row r="47" spans="1:13" ht="12.75" hidden="1">
      <c r="A47" s="4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1"/>
    </row>
    <row r="48" spans="1:13" ht="12.75" hidden="1">
      <c r="A48" s="42" t="s">
        <v>57</v>
      </c>
      <c r="B48" s="12"/>
      <c r="C48" s="16" t="s">
        <v>58</v>
      </c>
      <c r="D48" s="13" t="s">
        <v>59</v>
      </c>
      <c r="E48" s="12"/>
      <c r="F48" s="12"/>
      <c r="G48" s="12"/>
      <c r="H48" s="12"/>
      <c r="I48" s="12"/>
      <c r="J48" s="12"/>
      <c r="K48" s="12"/>
      <c r="L48" s="12"/>
      <c r="M48" s="14"/>
    </row>
    <row r="49" spans="1:13" ht="12.75" hidden="1">
      <c r="A49" s="15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4"/>
    </row>
    <row r="50" spans="1:13" ht="15.75" hidden="1">
      <c r="A50" s="15"/>
      <c r="B50" s="12"/>
      <c r="C50" s="12"/>
      <c r="D50" s="12" t="s">
        <v>60</v>
      </c>
      <c r="E50" s="12"/>
      <c r="F50" s="43">
        <v>0</v>
      </c>
      <c r="G50" s="19" t="s">
        <v>61</v>
      </c>
      <c r="H50" s="12"/>
      <c r="I50" s="12"/>
      <c r="J50" s="12"/>
      <c r="K50" s="12"/>
      <c r="L50" s="12"/>
      <c r="M50" s="14"/>
    </row>
    <row r="51" spans="1:13" ht="15.75" hidden="1">
      <c r="A51" s="15"/>
      <c r="B51" s="12"/>
      <c r="C51" s="12"/>
      <c r="D51" s="12" t="s">
        <v>34</v>
      </c>
      <c r="E51" s="12"/>
      <c r="F51" s="44">
        <v>0</v>
      </c>
      <c r="G51" s="19" t="s">
        <v>61</v>
      </c>
      <c r="H51" s="12"/>
      <c r="I51" s="12"/>
      <c r="J51" s="12"/>
      <c r="K51" s="12"/>
      <c r="L51" s="12"/>
      <c r="M51" s="14"/>
    </row>
    <row r="52" spans="1:13" ht="15.75" hidden="1">
      <c r="A52" s="15"/>
      <c r="B52" s="12"/>
      <c r="C52" s="12" t="s">
        <v>62</v>
      </c>
      <c r="D52" s="12" t="s">
        <v>37</v>
      </c>
      <c r="E52" s="12" t="s">
        <v>63</v>
      </c>
      <c r="F52" s="44">
        <v>0</v>
      </c>
      <c r="G52" s="19" t="str">
        <f>IF(F52=1," GP5 en entree "," GP5 en sortie")</f>
        <v> GP5 en sortie</v>
      </c>
      <c r="H52" s="12"/>
      <c r="I52" s="12"/>
      <c r="J52" s="12"/>
      <c r="K52" s="12"/>
      <c r="L52" s="12"/>
      <c r="M52" s="14"/>
    </row>
    <row r="53" spans="1:13" ht="15.75" hidden="1">
      <c r="A53" s="15"/>
      <c r="B53" s="12"/>
      <c r="C53" s="12" t="s">
        <v>64</v>
      </c>
      <c r="D53" s="12" t="s">
        <v>40</v>
      </c>
      <c r="E53" s="12" t="s">
        <v>65</v>
      </c>
      <c r="F53" s="44">
        <v>0</v>
      </c>
      <c r="G53" s="19" t="str">
        <f>IF(F53=1," GP4 en entree "," GP4 en sortie")</f>
        <v> GP4 en sortie</v>
      </c>
      <c r="H53" s="12"/>
      <c r="I53" s="12"/>
      <c r="J53" s="12"/>
      <c r="K53" s="12"/>
      <c r="L53" s="12"/>
      <c r="M53" s="14"/>
    </row>
    <row r="54" spans="1:13" ht="15.75" hidden="1">
      <c r="A54" s="15"/>
      <c r="B54" s="12"/>
      <c r="C54" s="32" t="s">
        <v>66</v>
      </c>
      <c r="D54" s="12" t="s">
        <v>44</v>
      </c>
      <c r="E54" s="12"/>
      <c r="F54" s="44">
        <v>1</v>
      </c>
      <c r="G54" s="45" t="s">
        <v>67</v>
      </c>
      <c r="H54" s="12"/>
      <c r="I54" s="12"/>
      <c r="J54" s="12"/>
      <c r="K54" s="12"/>
      <c r="L54" s="12"/>
      <c r="M54" s="14"/>
    </row>
    <row r="55" spans="1:13" ht="15.75" hidden="1">
      <c r="A55" s="15"/>
      <c r="B55" s="12"/>
      <c r="C55" s="12" t="s">
        <v>68</v>
      </c>
      <c r="D55" s="12" t="s">
        <v>46</v>
      </c>
      <c r="E55" s="12" t="s">
        <v>69</v>
      </c>
      <c r="F55" s="46">
        <v>0</v>
      </c>
      <c r="G55" s="19" t="str">
        <f>IF(F55=1," GP2 en entree "," GP2 en sortie")</f>
        <v> GP2 en sortie</v>
      </c>
      <c r="H55" s="12"/>
      <c r="I55" s="12"/>
      <c r="J55" s="12"/>
      <c r="K55" s="12"/>
      <c r="L55" s="12"/>
      <c r="M55" s="14"/>
    </row>
    <row r="56" spans="1:13" ht="15.75" hidden="1">
      <c r="A56" s="15"/>
      <c r="B56" s="12"/>
      <c r="C56" s="12" t="s">
        <v>70</v>
      </c>
      <c r="D56" s="12" t="s">
        <v>49</v>
      </c>
      <c r="E56" s="12" t="s">
        <v>71</v>
      </c>
      <c r="F56" s="46">
        <v>0</v>
      </c>
      <c r="G56" s="19" t="str">
        <f>IF(F56=1," GP1 en entree "," GP1 en sortie")</f>
        <v> GP1 en sortie</v>
      </c>
      <c r="H56" s="12"/>
      <c r="I56" s="12"/>
      <c r="J56" s="12"/>
      <c r="K56" s="12"/>
      <c r="L56" s="12"/>
      <c r="M56" s="14"/>
    </row>
    <row r="57" spans="1:13" ht="16.5" hidden="1" thickBot="1">
      <c r="A57" s="15"/>
      <c r="B57" s="12"/>
      <c r="C57" s="12" t="s">
        <v>72</v>
      </c>
      <c r="D57" s="12" t="s">
        <v>53</v>
      </c>
      <c r="E57" s="12" t="s">
        <v>73</v>
      </c>
      <c r="F57" s="47">
        <v>0</v>
      </c>
      <c r="G57" s="19" t="str">
        <f>IF(F57=1," GP0 en entree "," GP0 en sortie")</f>
        <v> GP0 en sortie</v>
      </c>
      <c r="H57" s="12"/>
      <c r="I57" s="12"/>
      <c r="J57" s="12"/>
      <c r="K57" s="12"/>
      <c r="L57" s="12"/>
      <c r="M57" s="14"/>
    </row>
    <row r="58" spans="1:13" ht="12.75" hidden="1">
      <c r="A58" s="15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4"/>
    </row>
    <row r="59" spans="1:13" ht="15.75" hidden="1">
      <c r="A59" s="15"/>
      <c r="B59" s="12"/>
      <c r="C59" s="12"/>
      <c r="D59" s="13" t="s">
        <v>74</v>
      </c>
      <c r="E59" s="12"/>
      <c r="F59" s="12"/>
      <c r="G59" s="37" t="str">
        <f>"  b'"&amp;F50&amp;F51&amp;F52&amp;F53&amp;F54&amp;F55&amp;F56&amp;F57&amp;"'"</f>
        <v>  b'00001000'</v>
      </c>
      <c r="H59" s="48" t="s">
        <v>75</v>
      </c>
      <c r="I59" s="12" t="str">
        <f>"  %"&amp;F50&amp;F51&amp;F52&amp;F53&amp;F54&amp;F55&amp;F56&amp;F57</f>
        <v>  %00001000</v>
      </c>
      <c r="J59" s="12"/>
      <c r="K59" s="12"/>
      <c r="L59" s="12"/>
      <c r="M59" s="14"/>
    </row>
    <row r="60" spans="1:13" ht="15.75" hidden="1">
      <c r="A60" s="15"/>
      <c r="B60" s="12"/>
      <c r="C60" s="12"/>
      <c r="D60" s="13"/>
      <c r="E60" s="12"/>
      <c r="F60" s="12"/>
      <c r="G60" s="37"/>
      <c r="H60" s="12"/>
      <c r="I60" s="12"/>
      <c r="J60" s="12"/>
      <c r="K60" s="12"/>
      <c r="L60" s="12"/>
      <c r="M60" s="14"/>
    </row>
    <row r="61" spans="1:13" ht="12.75" hidden="1">
      <c r="A61" s="15"/>
      <c r="B61" s="12"/>
      <c r="C61" s="16" t="s">
        <v>76</v>
      </c>
      <c r="D61" s="13" t="s">
        <v>77</v>
      </c>
      <c r="E61" s="12"/>
      <c r="F61" s="12"/>
      <c r="G61" s="12"/>
      <c r="H61" s="49" t="s">
        <v>78</v>
      </c>
      <c r="I61" s="49"/>
      <c r="J61" s="49"/>
      <c r="K61" s="49"/>
      <c r="L61" s="49"/>
      <c r="M61" s="50"/>
    </row>
    <row r="62" spans="1:13" ht="12.75" hidden="1">
      <c r="A62" s="15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4"/>
    </row>
    <row r="63" spans="1:13" ht="15.75" hidden="1">
      <c r="A63" s="15"/>
      <c r="B63" s="12"/>
      <c r="C63" s="12"/>
      <c r="D63" s="12" t="s">
        <v>60</v>
      </c>
      <c r="E63" s="12"/>
      <c r="F63" s="43">
        <v>0</v>
      </c>
      <c r="G63" s="19" t="s">
        <v>61</v>
      </c>
      <c r="H63" s="12"/>
      <c r="I63" s="12"/>
      <c r="J63" s="12"/>
      <c r="K63" s="12"/>
      <c r="L63" s="12"/>
      <c r="M63" s="14"/>
    </row>
    <row r="64" spans="1:13" ht="15.75" hidden="1">
      <c r="A64" s="15"/>
      <c r="B64" s="12"/>
      <c r="C64" s="12"/>
      <c r="D64" s="12" t="s">
        <v>34</v>
      </c>
      <c r="E64" s="12"/>
      <c r="F64" s="44">
        <v>0</v>
      </c>
      <c r="G64" s="19" t="s">
        <v>61</v>
      </c>
      <c r="H64" s="12"/>
      <c r="I64" s="12"/>
      <c r="J64" s="12"/>
      <c r="K64" s="12"/>
      <c r="L64" s="12"/>
      <c r="M64" s="14"/>
    </row>
    <row r="65" spans="1:13" ht="15.75" hidden="1">
      <c r="A65" s="15"/>
      <c r="B65" s="12"/>
      <c r="C65" s="12"/>
      <c r="D65" s="12" t="s">
        <v>37</v>
      </c>
      <c r="E65" s="12" t="s">
        <v>63</v>
      </c>
      <c r="F65" s="51">
        <v>0</v>
      </c>
      <c r="G65" s="19" t="str">
        <f>IF(F65=0,"Résistance non cablé sur GP5","Résistance  cablé sur GP5")</f>
        <v>Résistance non cablé sur GP5</v>
      </c>
      <c r="H65" s="12"/>
      <c r="I65" s="12"/>
      <c r="J65" s="12"/>
      <c r="K65" s="12"/>
      <c r="L65" s="12"/>
      <c r="M65" s="14"/>
    </row>
    <row r="66" spans="1:13" ht="15.75" hidden="1">
      <c r="A66" s="15"/>
      <c r="B66" s="12"/>
      <c r="C66" s="12"/>
      <c r="D66" s="12" t="s">
        <v>40</v>
      </c>
      <c r="E66" s="12" t="s">
        <v>65</v>
      </c>
      <c r="F66" s="51">
        <v>0</v>
      </c>
      <c r="G66" s="19" t="str">
        <f>IF(F66=0,"Résistance non cablé sur GP4","Résistance  cablé sur GP4")</f>
        <v>Résistance non cablé sur GP4</v>
      </c>
      <c r="H66" s="12"/>
      <c r="I66" s="12"/>
      <c r="J66" s="12"/>
      <c r="K66" s="12"/>
      <c r="L66" s="12"/>
      <c r="M66" s="14"/>
    </row>
    <row r="67" spans="1:13" ht="15.75" hidden="1">
      <c r="A67" s="15"/>
      <c r="B67" s="12"/>
      <c r="C67" s="12"/>
      <c r="D67" s="12" t="s">
        <v>44</v>
      </c>
      <c r="E67" s="12"/>
      <c r="F67" s="44">
        <v>0</v>
      </c>
      <c r="G67" s="19" t="s">
        <v>61</v>
      </c>
      <c r="H67" s="12"/>
      <c r="I67" s="12"/>
      <c r="J67" s="12"/>
      <c r="K67" s="12"/>
      <c r="L67" s="12"/>
      <c r="M67" s="14"/>
    </row>
    <row r="68" spans="1:13" ht="15.75" hidden="1">
      <c r="A68" s="15"/>
      <c r="B68" s="12"/>
      <c r="C68" s="12"/>
      <c r="D68" s="12" t="s">
        <v>46</v>
      </c>
      <c r="E68" s="12" t="s">
        <v>69</v>
      </c>
      <c r="F68" s="52">
        <v>0</v>
      </c>
      <c r="G68" s="19" t="str">
        <f>IF(F68=0,"Résistance non cablé sur GP2","Résistance  cablé sur GP2")</f>
        <v>Résistance non cablé sur GP2</v>
      </c>
      <c r="H68" s="12"/>
      <c r="I68" s="12"/>
      <c r="J68" s="12"/>
      <c r="K68" s="12"/>
      <c r="L68" s="12"/>
      <c r="M68" s="14"/>
    </row>
    <row r="69" spans="1:13" ht="15.75" hidden="1">
      <c r="A69" s="15"/>
      <c r="B69" s="12"/>
      <c r="C69" s="12"/>
      <c r="D69" s="12" t="s">
        <v>49</v>
      </c>
      <c r="E69" s="12" t="s">
        <v>71</v>
      </c>
      <c r="F69" s="52">
        <v>0</v>
      </c>
      <c r="G69" s="19" t="str">
        <f>IF(F69=0,"Résistance non cablé sur GP1","Résistance  cablé sur GP1")</f>
        <v>Résistance non cablé sur GP1</v>
      </c>
      <c r="H69" s="12"/>
      <c r="I69" s="12"/>
      <c r="J69" s="12"/>
      <c r="K69" s="12"/>
      <c r="L69" s="12"/>
      <c r="M69" s="14"/>
    </row>
    <row r="70" spans="1:13" ht="16.5" hidden="1" thickBot="1">
      <c r="A70" s="15"/>
      <c r="B70" s="12"/>
      <c r="C70" s="12"/>
      <c r="D70" s="12" t="s">
        <v>53</v>
      </c>
      <c r="E70" s="12" t="s">
        <v>73</v>
      </c>
      <c r="F70" s="53">
        <v>0</v>
      </c>
      <c r="G70" s="19" t="str">
        <f>IF(F70=0,"Résistance non cablé sur GP0","Résistance  cablé sur GP0")</f>
        <v>Résistance non cablé sur GP0</v>
      </c>
      <c r="H70" s="12"/>
      <c r="I70" s="12"/>
      <c r="J70" s="12"/>
      <c r="K70" s="12"/>
      <c r="L70" s="12"/>
      <c r="M70" s="14"/>
    </row>
    <row r="71" spans="1:13" ht="12.75" hidden="1">
      <c r="A71" s="15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4"/>
    </row>
    <row r="72" spans="1:13" ht="15.75" hidden="1">
      <c r="A72" s="15"/>
      <c r="B72" s="12"/>
      <c r="C72" s="12"/>
      <c r="D72" s="13" t="s">
        <v>79</v>
      </c>
      <c r="E72" s="12"/>
      <c r="F72" s="12"/>
      <c r="G72" s="37" t="str">
        <f>"  b'"&amp;F63&amp;F64&amp;F65&amp;F66&amp;F67&amp;F68&amp;F69&amp;F70&amp;"'"</f>
        <v>  b'00000000'</v>
      </c>
      <c r="H72" s="54" t="s">
        <v>80</v>
      </c>
      <c r="I72" s="13" t="str">
        <f>"  %"&amp;F63&amp;F64&amp;F65&amp;F66&amp;F67&amp;F68&amp;F69&amp;F70</f>
        <v>  %00000000</v>
      </c>
      <c r="J72" s="12"/>
      <c r="K72" s="12"/>
      <c r="L72" s="12"/>
      <c r="M72" s="14"/>
    </row>
    <row r="73" spans="1:13" ht="15.75" hidden="1">
      <c r="A73" s="38"/>
      <c r="B73" s="39"/>
      <c r="C73" s="39"/>
      <c r="D73" s="55"/>
      <c r="E73" s="39"/>
      <c r="F73" s="39"/>
      <c r="G73" s="56"/>
      <c r="H73" s="39"/>
      <c r="I73" s="39"/>
      <c r="J73" s="39"/>
      <c r="K73" s="39"/>
      <c r="L73" s="39"/>
      <c r="M73" s="40"/>
    </row>
    <row r="74" spans="1:13" ht="15.75" hidden="1">
      <c r="A74" s="41"/>
      <c r="B74" s="10"/>
      <c r="C74" s="10"/>
      <c r="D74" s="57"/>
      <c r="E74" s="10"/>
      <c r="F74" s="10"/>
      <c r="G74" s="58"/>
      <c r="H74" s="10"/>
      <c r="I74" s="10"/>
      <c r="J74" s="10"/>
      <c r="K74" s="10"/>
      <c r="L74" s="10"/>
      <c r="M74" s="11"/>
    </row>
    <row r="75" spans="1:13" ht="16.5" hidden="1" thickBot="1">
      <c r="A75" s="42" t="s">
        <v>81</v>
      </c>
      <c r="B75" s="12"/>
      <c r="C75" s="16" t="s">
        <v>82</v>
      </c>
      <c r="D75" s="12"/>
      <c r="E75" s="19" t="s">
        <v>260</v>
      </c>
      <c r="F75" s="59">
        <v>1</v>
      </c>
      <c r="G75" s="60" t="str">
        <f>IF(F75=F79,"11111100",IF(F75=F78,"00000000",IF(F75=F77,"10000000","erreur")))</f>
        <v>10000000</v>
      </c>
      <c r="H75" s="12"/>
      <c r="I75" s="12"/>
      <c r="J75" s="12"/>
      <c r="K75" s="12"/>
      <c r="L75" s="12"/>
      <c r="M75" s="14"/>
    </row>
    <row r="76" spans="1:13" ht="12.75" hidden="1">
      <c r="A76" s="15"/>
      <c r="B76" s="12"/>
      <c r="C76" s="12"/>
      <c r="D76" s="12"/>
      <c r="E76" s="60"/>
      <c r="F76" s="12"/>
      <c r="G76" s="12"/>
      <c r="H76" s="12"/>
      <c r="I76" s="12"/>
      <c r="J76" s="12"/>
      <c r="K76" s="12"/>
      <c r="L76" s="12"/>
      <c r="M76" s="14"/>
    </row>
    <row r="77" spans="1:13" ht="12.75" hidden="1">
      <c r="A77" s="15"/>
      <c r="B77" s="12"/>
      <c r="C77" s="12"/>
      <c r="D77" s="12"/>
      <c r="E77" s="12" t="s">
        <v>83</v>
      </c>
      <c r="F77" s="60">
        <v>1</v>
      </c>
      <c r="G77" s="12"/>
      <c r="H77" s="12"/>
      <c r="I77" s="12"/>
      <c r="J77" s="12"/>
      <c r="K77" s="12"/>
      <c r="L77" s="12"/>
      <c r="M77" s="14"/>
    </row>
    <row r="78" spans="1:13" ht="12.75" hidden="1">
      <c r="A78" s="15"/>
      <c r="B78" s="12"/>
      <c r="C78" s="12"/>
      <c r="D78" s="12"/>
      <c r="E78" s="12" t="s">
        <v>84</v>
      </c>
      <c r="F78" s="60">
        <v>2</v>
      </c>
      <c r="G78" s="12"/>
      <c r="H78" s="12"/>
      <c r="I78" s="12"/>
      <c r="J78" s="12"/>
      <c r="K78" s="12"/>
      <c r="L78" s="12"/>
      <c r="M78" s="14"/>
    </row>
    <row r="79" spans="1:13" ht="12.75" hidden="1">
      <c r="A79" s="15"/>
      <c r="B79" s="12"/>
      <c r="C79" s="12"/>
      <c r="D79" s="12"/>
      <c r="E79" s="12" t="s">
        <v>85</v>
      </c>
      <c r="F79" s="60">
        <v>3</v>
      </c>
      <c r="G79" s="12"/>
      <c r="H79" s="12"/>
      <c r="I79" s="12"/>
      <c r="J79" s="12"/>
      <c r="K79" s="12"/>
      <c r="L79" s="12"/>
      <c r="M79" s="14"/>
    </row>
    <row r="80" spans="1:13" ht="12.75" hidden="1">
      <c r="A80" s="15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4"/>
    </row>
    <row r="81" spans="1:13" ht="15.75" hidden="1">
      <c r="A81" s="15"/>
      <c r="B81" s="12"/>
      <c r="C81" s="12"/>
      <c r="D81" s="13" t="s">
        <v>86</v>
      </c>
      <c r="E81" s="12"/>
      <c r="F81" s="12"/>
      <c r="G81" s="37" t="str">
        <f>"  b'"&amp;G75&amp;"'"</f>
        <v>  b'10000000'</v>
      </c>
      <c r="H81" s="54" t="s">
        <v>87</v>
      </c>
      <c r="I81" s="13" t="str">
        <f>"  %"&amp;G75</f>
        <v>  %10000000</v>
      </c>
      <c r="J81" s="12"/>
      <c r="K81" s="12"/>
      <c r="L81" s="12"/>
      <c r="M81" s="14"/>
    </row>
    <row r="82" spans="1:13" ht="15.75" hidden="1">
      <c r="A82" s="38"/>
      <c r="B82" s="39"/>
      <c r="C82" s="39"/>
      <c r="D82" s="39"/>
      <c r="E82" s="39"/>
      <c r="F82" s="61"/>
      <c r="G82" s="39"/>
      <c r="H82" s="39"/>
      <c r="I82" s="39"/>
      <c r="J82" s="39"/>
      <c r="K82" s="39"/>
      <c r="L82" s="39"/>
      <c r="M82" s="40"/>
    </row>
    <row r="83" spans="1:13" ht="15.75" hidden="1">
      <c r="A83" s="41"/>
      <c r="B83" s="10"/>
      <c r="C83" s="10"/>
      <c r="D83" s="10"/>
      <c r="E83" s="10"/>
      <c r="F83" s="62"/>
      <c r="G83" s="10"/>
      <c r="H83" s="10"/>
      <c r="I83" s="10"/>
      <c r="J83" s="10"/>
      <c r="K83" s="10"/>
      <c r="L83" s="10"/>
      <c r="M83" s="11"/>
    </row>
    <row r="84" spans="1:13" ht="15.75" hidden="1">
      <c r="A84" s="42" t="s">
        <v>88</v>
      </c>
      <c r="B84" s="12"/>
      <c r="C84" s="12"/>
      <c r="D84" s="12"/>
      <c r="E84" s="12"/>
      <c r="F84" s="35"/>
      <c r="G84" s="12"/>
      <c r="H84" s="12"/>
      <c r="I84" s="12"/>
      <c r="J84" s="12"/>
      <c r="K84" s="12"/>
      <c r="L84" s="12"/>
      <c r="M84" s="14"/>
    </row>
    <row r="85" spans="1:13" ht="12.75" hidden="1">
      <c r="A85" s="15"/>
      <c r="B85" s="12"/>
      <c r="C85" s="13" t="s">
        <v>89</v>
      </c>
      <c r="D85" s="13" t="s">
        <v>90</v>
      </c>
      <c r="E85" s="12"/>
      <c r="F85" s="12"/>
      <c r="G85" s="12"/>
      <c r="H85" s="12"/>
      <c r="I85" s="12"/>
      <c r="J85" s="12"/>
      <c r="K85" s="12"/>
      <c r="L85" s="12"/>
      <c r="M85" s="14"/>
    </row>
    <row r="86" spans="1:13" ht="12.75" hidden="1">
      <c r="A86" s="15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4"/>
    </row>
    <row r="87" spans="1:13" ht="15.75" hidden="1">
      <c r="A87" s="15"/>
      <c r="B87" s="12"/>
      <c r="C87" s="12"/>
      <c r="D87" s="12" t="s">
        <v>60</v>
      </c>
      <c r="E87" s="12" t="s">
        <v>91</v>
      </c>
      <c r="F87" s="63">
        <v>0</v>
      </c>
      <c r="G87" s="19" t="str">
        <f>IF(F87=0,"Interruption désactivées","Interruption activées")</f>
        <v>Interruption désactivées</v>
      </c>
      <c r="H87" s="12"/>
      <c r="I87" s="12"/>
      <c r="J87" s="12"/>
      <c r="K87" s="12"/>
      <c r="L87" s="12"/>
      <c r="M87" s="14"/>
    </row>
    <row r="88" spans="1:13" ht="15.75" hidden="1">
      <c r="A88" s="15"/>
      <c r="B88" s="12"/>
      <c r="C88" s="12"/>
      <c r="D88" s="12" t="s">
        <v>34</v>
      </c>
      <c r="E88" s="12" t="s">
        <v>92</v>
      </c>
      <c r="F88" s="64">
        <v>0</v>
      </c>
      <c r="G88" s="19" t="str">
        <f>IF(F88=0,"Interruption PERIPHERIQUES Désactivées","InterruptionPERIPHERIQUES activées")</f>
        <v>Interruption PERIPHERIQUES Désactivées</v>
      </c>
      <c r="H88" s="12"/>
      <c r="I88" s="12"/>
      <c r="J88" s="12"/>
      <c r="K88" s="12"/>
      <c r="L88" s="12"/>
      <c r="M88" s="14"/>
    </row>
    <row r="89" spans="1:13" ht="15.75" hidden="1">
      <c r="A89" s="15"/>
      <c r="B89" s="12"/>
      <c r="C89" s="12"/>
      <c r="D89" s="12" t="s">
        <v>37</v>
      </c>
      <c r="E89" s="12" t="s">
        <v>93</v>
      </c>
      <c r="F89" s="44">
        <v>0</v>
      </c>
      <c r="G89" s="19" t="str">
        <f>IF(F89=0,"Interruption TMR0 Désactivées","Interruption TMR0 activées")</f>
        <v>Interruption TMR0 Désactivées</v>
      </c>
      <c r="H89" s="12"/>
      <c r="I89" s="12"/>
      <c r="J89" s="12"/>
      <c r="K89" s="12"/>
      <c r="L89" s="12"/>
      <c r="M89" s="14"/>
    </row>
    <row r="90" spans="1:13" ht="15.75" hidden="1">
      <c r="A90" s="15"/>
      <c r="B90" s="12"/>
      <c r="C90" s="12"/>
      <c r="D90" s="12" t="s">
        <v>40</v>
      </c>
      <c r="E90" s="12" t="s">
        <v>94</v>
      </c>
      <c r="F90" s="44">
        <v>0</v>
      </c>
      <c r="G90" s="19" t="str">
        <f>IF(F90=0,"Interruption GP2 /INTDésactivées","Interruption GP2/INT activées")</f>
        <v>Interruption GP2 /INTDésactivées</v>
      </c>
      <c r="H90" s="12"/>
      <c r="I90" s="12"/>
      <c r="J90" s="12"/>
      <c r="K90" s="12"/>
      <c r="L90" s="12"/>
      <c r="M90" s="14"/>
    </row>
    <row r="91" spans="1:13" ht="15.75" hidden="1">
      <c r="A91" s="15"/>
      <c r="B91" s="12"/>
      <c r="C91" s="12"/>
      <c r="D91" s="12" t="s">
        <v>44</v>
      </c>
      <c r="E91" s="12" t="s">
        <v>95</v>
      </c>
      <c r="F91" s="28">
        <v>0</v>
      </c>
      <c r="G91" s="19" t="str">
        <f>IF(F91=0,"Interruption GPIO Désactivées","Interruption GPIO activées")</f>
        <v>Interruption GPIO Désactivées</v>
      </c>
      <c r="H91" s="12"/>
      <c r="I91" s="12"/>
      <c r="J91" s="12"/>
      <c r="K91" s="12"/>
      <c r="L91" s="12"/>
      <c r="M91" s="14"/>
    </row>
    <row r="92" spans="1:13" ht="15.75" hidden="1">
      <c r="A92" s="15"/>
      <c r="B92" s="12"/>
      <c r="C92" s="12"/>
      <c r="D92" s="12" t="s">
        <v>46</v>
      </c>
      <c r="E92" s="12" t="s">
        <v>96</v>
      </c>
      <c r="F92" s="65">
        <v>0</v>
      </c>
      <c r="G92" s="32" t="s">
        <v>97</v>
      </c>
      <c r="H92" s="12"/>
      <c r="I92" s="12"/>
      <c r="J92" s="12" t="s">
        <v>98</v>
      </c>
      <c r="K92" s="12"/>
      <c r="L92" s="12"/>
      <c r="M92" s="14"/>
    </row>
    <row r="93" spans="1:13" ht="15.75" hidden="1">
      <c r="A93" s="15"/>
      <c r="B93" s="12"/>
      <c r="C93" s="12"/>
      <c r="D93" s="12" t="s">
        <v>49</v>
      </c>
      <c r="E93" s="12" t="s">
        <v>99</v>
      </c>
      <c r="F93" s="65">
        <v>0</v>
      </c>
      <c r="G93" s="32" t="s">
        <v>100</v>
      </c>
      <c r="H93" s="12"/>
      <c r="I93" s="12"/>
      <c r="J93" s="12" t="s">
        <v>98</v>
      </c>
      <c r="K93" s="12"/>
      <c r="L93" s="12"/>
      <c r="M93" s="14"/>
    </row>
    <row r="94" spans="1:13" ht="16.5" hidden="1" thickBot="1">
      <c r="A94" s="15"/>
      <c r="B94" s="12"/>
      <c r="C94" s="12"/>
      <c r="D94" s="12" t="s">
        <v>53</v>
      </c>
      <c r="E94" s="12" t="s">
        <v>101</v>
      </c>
      <c r="F94" s="66">
        <v>0</v>
      </c>
      <c r="G94" s="32" t="s">
        <v>102</v>
      </c>
      <c r="H94" s="12"/>
      <c r="I94" s="12"/>
      <c r="J94" s="12" t="s">
        <v>98</v>
      </c>
      <c r="K94" s="12"/>
      <c r="L94" s="12"/>
      <c r="M94" s="14"/>
    </row>
    <row r="95" spans="1:13" ht="12.75" hidden="1">
      <c r="A95" s="15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4"/>
    </row>
    <row r="96" spans="1:13" ht="15.75" hidden="1">
      <c r="A96" s="15"/>
      <c r="B96" s="12"/>
      <c r="C96" s="12"/>
      <c r="D96" s="13" t="s">
        <v>103</v>
      </c>
      <c r="E96" s="12"/>
      <c r="F96" s="12"/>
      <c r="G96" s="37" t="str">
        <f>"  b'"&amp;F87&amp;F88&amp;F89&amp;F90&amp;F91&amp;F92&amp;F93&amp;F94&amp;"'"</f>
        <v>  b'00000000'</v>
      </c>
      <c r="H96" s="54" t="s">
        <v>104</v>
      </c>
      <c r="I96" s="67" t="str">
        <f>"  %"&amp;F87&amp;F88&amp;F89&amp;F90&amp;F91&amp;F92&amp;F93&amp;F94</f>
        <v>  %00000000</v>
      </c>
      <c r="J96" s="12"/>
      <c r="K96" s="12"/>
      <c r="L96" s="12"/>
      <c r="M96" s="14"/>
    </row>
    <row r="97" spans="1:13" ht="12.75" hidden="1">
      <c r="A97" s="15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4"/>
    </row>
    <row r="98" spans="1:13" ht="12.75" hidden="1">
      <c r="A98" s="15"/>
      <c r="B98" s="12"/>
      <c r="C98" s="16" t="s">
        <v>105</v>
      </c>
      <c r="D98" s="13" t="s">
        <v>106</v>
      </c>
      <c r="E98" s="12"/>
      <c r="F98" s="12"/>
      <c r="G98" s="12"/>
      <c r="H98" s="12"/>
      <c r="I98" s="12"/>
      <c r="J98" s="12"/>
      <c r="K98" s="12"/>
      <c r="L98" s="12"/>
      <c r="M98" s="14"/>
    </row>
    <row r="99" spans="1:13" ht="12.75" hidden="1">
      <c r="A99" s="15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4"/>
    </row>
    <row r="100" spans="1:13" ht="15.75" hidden="1">
      <c r="A100" s="15"/>
      <c r="B100" s="12"/>
      <c r="C100" s="12"/>
      <c r="D100" s="12" t="s">
        <v>60</v>
      </c>
      <c r="E100" s="12"/>
      <c r="F100" s="68">
        <v>0</v>
      </c>
      <c r="G100" s="12" t="s">
        <v>61</v>
      </c>
      <c r="H100" s="12"/>
      <c r="I100" s="12"/>
      <c r="J100" s="12"/>
      <c r="K100" s="12"/>
      <c r="L100" s="12"/>
      <c r="M100" s="14"/>
    </row>
    <row r="101" spans="1:13" ht="15.75" hidden="1">
      <c r="A101" s="15"/>
      <c r="B101" s="12"/>
      <c r="C101" s="12"/>
      <c r="D101" s="12" t="s">
        <v>34</v>
      </c>
      <c r="E101" s="12"/>
      <c r="F101" s="69">
        <v>0</v>
      </c>
      <c r="G101" s="12" t="s">
        <v>61</v>
      </c>
      <c r="H101" s="12"/>
      <c r="I101" s="12"/>
      <c r="J101" s="12"/>
      <c r="K101" s="12"/>
      <c r="L101" s="12"/>
      <c r="M101" s="14"/>
    </row>
    <row r="102" spans="1:13" ht="15.75" hidden="1">
      <c r="A102" s="15"/>
      <c r="B102" s="12"/>
      <c r="C102" s="12"/>
      <c r="D102" s="12" t="s">
        <v>37</v>
      </c>
      <c r="E102" s="12" t="s">
        <v>107</v>
      </c>
      <c r="F102" s="28">
        <v>0</v>
      </c>
      <c r="G102" s="19" t="str">
        <f>IF(F102=0,"Interruption GP5 Désactivée","Interruption GP5 activée")</f>
        <v>Interruption GP5 Désactivée</v>
      </c>
      <c r="H102" s="12"/>
      <c r="I102" s="12"/>
      <c r="J102" s="12"/>
      <c r="K102" s="12"/>
      <c r="L102" s="12"/>
      <c r="M102" s="14"/>
    </row>
    <row r="103" spans="1:13" ht="15.75" hidden="1">
      <c r="A103" s="15"/>
      <c r="B103" s="12"/>
      <c r="C103" s="12"/>
      <c r="D103" s="12" t="s">
        <v>40</v>
      </c>
      <c r="E103" s="12" t="s">
        <v>108</v>
      </c>
      <c r="F103" s="28">
        <v>0</v>
      </c>
      <c r="G103" s="19" t="str">
        <f>IF(F103=0,"Interruption GP4 Désactivée","Interruption GP4 activée")</f>
        <v>Interruption GP4 Désactivée</v>
      </c>
      <c r="H103" s="12"/>
      <c r="I103" s="12"/>
      <c r="J103" s="12"/>
      <c r="K103" s="12"/>
      <c r="L103" s="12"/>
      <c r="M103" s="14"/>
    </row>
    <row r="104" spans="1:13" ht="15.75" hidden="1">
      <c r="A104" s="15"/>
      <c r="B104" s="12"/>
      <c r="C104" s="12"/>
      <c r="D104" s="12" t="s">
        <v>44</v>
      </c>
      <c r="E104" s="12" t="s">
        <v>109</v>
      </c>
      <c r="F104" s="28">
        <v>0</v>
      </c>
      <c r="G104" s="19" t="str">
        <f>IF(F104=0,"Interruption GP3 Désactivée","Interruption GP3 activée")</f>
        <v>Interruption GP3 Désactivée</v>
      </c>
      <c r="H104" s="12"/>
      <c r="I104" s="12"/>
      <c r="J104" s="12"/>
      <c r="K104" s="12"/>
      <c r="L104" s="12"/>
      <c r="M104" s="14"/>
    </row>
    <row r="105" spans="1:13" ht="15.75" hidden="1">
      <c r="A105" s="15"/>
      <c r="B105" s="12"/>
      <c r="C105" s="12"/>
      <c r="D105" s="12" t="s">
        <v>46</v>
      </c>
      <c r="E105" s="12" t="s">
        <v>110</v>
      </c>
      <c r="F105" s="28">
        <v>0</v>
      </c>
      <c r="G105" s="19" t="str">
        <f>IF(F105=0,"Interruption GP2 Désactivée","Interruption GP2 activée")</f>
        <v>Interruption GP2 Désactivée</v>
      </c>
      <c r="H105" s="12"/>
      <c r="I105" s="12"/>
      <c r="J105" s="12"/>
      <c r="K105" s="12"/>
      <c r="L105" s="12"/>
      <c r="M105" s="14"/>
    </row>
    <row r="106" spans="1:13" ht="15.75" hidden="1">
      <c r="A106" s="15"/>
      <c r="B106" s="12"/>
      <c r="C106" s="12"/>
      <c r="D106" s="12" t="s">
        <v>49</v>
      </c>
      <c r="E106" s="12" t="s">
        <v>111</v>
      </c>
      <c r="F106" s="28">
        <v>0</v>
      </c>
      <c r="G106" s="19" t="str">
        <f>IF(F106=0,"Interruption GP1 Désactivée","Interruption GP1 activée")</f>
        <v>Interruption GP1 Désactivée</v>
      </c>
      <c r="H106" s="12"/>
      <c r="I106" s="12"/>
      <c r="J106" s="12"/>
      <c r="K106" s="12"/>
      <c r="L106" s="12"/>
      <c r="M106" s="14"/>
    </row>
    <row r="107" spans="1:13" ht="16.5" hidden="1" thickBot="1">
      <c r="A107" s="15"/>
      <c r="B107" s="12"/>
      <c r="C107" s="12"/>
      <c r="D107" s="12" t="s">
        <v>53</v>
      </c>
      <c r="E107" s="12" t="s">
        <v>112</v>
      </c>
      <c r="F107" s="33">
        <v>0</v>
      </c>
      <c r="G107" s="19" t="str">
        <f>IF(F107=0,"Interruption GP0 Désactivée","Interruption GP0 activée")</f>
        <v>Interruption GP0 Désactivée</v>
      </c>
      <c r="H107" s="12"/>
      <c r="I107" s="12"/>
      <c r="J107" s="12"/>
      <c r="K107" s="12"/>
      <c r="L107" s="12"/>
      <c r="M107" s="14"/>
    </row>
    <row r="108" spans="1:13" ht="12.75" hidden="1">
      <c r="A108" s="15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4"/>
    </row>
    <row r="109" spans="1:13" ht="15.75" hidden="1">
      <c r="A109" s="15"/>
      <c r="B109" s="12"/>
      <c r="C109" s="12"/>
      <c r="D109" s="13" t="s">
        <v>113</v>
      </c>
      <c r="E109" s="12"/>
      <c r="F109" s="12"/>
      <c r="G109" s="37" t="str">
        <f>"  b'"&amp;F100&amp;F101&amp;F102&amp;F103&amp;F104&amp;F105&amp;F106&amp;F107&amp;"'"</f>
        <v>  b'00000000'</v>
      </c>
      <c r="H109" s="54" t="s">
        <v>114</v>
      </c>
      <c r="I109" s="13" t="str">
        <f>"  %"&amp;F100&amp;F101&amp;F102&amp;F103&amp;F104&amp;F105&amp;F106&amp;F107</f>
        <v>  %00000000</v>
      </c>
      <c r="J109" s="12"/>
      <c r="K109" s="12"/>
      <c r="L109" s="12"/>
      <c r="M109" s="14"/>
    </row>
    <row r="110" spans="1:13" ht="12.75" hidden="1">
      <c r="A110" s="15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4"/>
    </row>
    <row r="111" spans="1:13" ht="12.75" hidden="1">
      <c r="A111" s="15"/>
      <c r="B111" s="12"/>
      <c r="C111" s="16" t="s">
        <v>115</v>
      </c>
      <c r="D111" s="13" t="s">
        <v>116</v>
      </c>
      <c r="E111" s="12"/>
      <c r="F111" s="12"/>
      <c r="G111" s="12"/>
      <c r="H111" s="12"/>
      <c r="I111" s="12"/>
      <c r="J111" s="12"/>
      <c r="K111" s="12"/>
      <c r="L111" s="12"/>
      <c r="M111" s="14"/>
    </row>
    <row r="112" spans="1:13" ht="12.75" hidden="1">
      <c r="A112" s="15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4"/>
    </row>
    <row r="113" spans="1:13" ht="15.75" hidden="1">
      <c r="A113" s="15"/>
      <c r="B113" s="12"/>
      <c r="C113" s="12"/>
      <c r="D113" s="12" t="s">
        <v>60</v>
      </c>
      <c r="E113" s="12" t="s">
        <v>117</v>
      </c>
      <c r="F113" s="153">
        <v>0</v>
      </c>
      <c r="G113" s="19" t="str">
        <f>IF(F113=0,"Interruption A/D Désactivée","Interruption A/D activée")</f>
        <v>Interruption A/D Désactivée</v>
      </c>
      <c r="H113" s="12"/>
      <c r="I113" s="12"/>
      <c r="J113" s="12"/>
      <c r="K113" s="12"/>
      <c r="L113" s="12"/>
      <c r="M113" s="14"/>
    </row>
    <row r="114" spans="1:13" ht="15.75" hidden="1">
      <c r="A114" s="15"/>
      <c r="B114" s="12"/>
      <c r="C114" s="12"/>
      <c r="D114" s="12" t="s">
        <v>34</v>
      </c>
      <c r="E114" s="12" t="s">
        <v>118</v>
      </c>
      <c r="F114" s="64">
        <v>0</v>
      </c>
      <c r="G114" s="19" t="str">
        <f>IF(F114=0,"Interruption écriture EEPROM Désactivée","Interruption écriture EEPROM activée")</f>
        <v>Interruption écriture EEPROM Désactivée</v>
      </c>
      <c r="H114" s="12"/>
      <c r="I114" s="12"/>
      <c r="J114" s="12"/>
      <c r="K114" s="12"/>
      <c r="L114" s="12"/>
      <c r="M114" s="14"/>
    </row>
    <row r="115" spans="1:13" ht="15.75" hidden="1">
      <c r="A115" s="15"/>
      <c r="B115" s="12"/>
      <c r="C115" s="12"/>
      <c r="D115" s="12" t="s">
        <v>37</v>
      </c>
      <c r="E115" s="12"/>
      <c r="F115" s="70">
        <v>0</v>
      </c>
      <c r="G115" s="12" t="s">
        <v>61</v>
      </c>
      <c r="H115" s="12"/>
      <c r="I115" s="12"/>
      <c r="J115" s="12"/>
      <c r="K115" s="12"/>
      <c r="L115" s="12"/>
      <c r="M115" s="14"/>
    </row>
    <row r="116" spans="1:13" ht="15.75" hidden="1">
      <c r="A116" s="15"/>
      <c r="B116" s="12"/>
      <c r="C116" s="12"/>
      <c r="D116" s="12" t="s">
        <v>40</v>
      </c>
      <c r="E116" s="12"/>
      <c r="F116" s="70">
        <v>0</v>
      </c>
      <c r="G116" s="12" t="s">
        <v>61</v>
      </c>
      <c r="H116" s="12"/>
      <c r="I116" s="12"/>
      <c r="J116" s="12"/>
      <c r="K116" s="12"/>
      <c r="L116" s="12"/>
      <c r="M116" s="14"/>
    </row>
    <row r="117" spans="1:13" ht="15.75" hidden="1">
      <c r="A117" s="15"/>
      <c r="B117" s="12"/>
      <c r="C117" s="12"/>
      <c r="D117" s="12" t="s">
        <v>44</v>
      </c>
      <c r="E117" s="12" t="s">
        <v>119</v>
      </c>
      <c r="F117" s="64">
        <v>0</v>
      </c>
      <c r="G117" s="19" t="str">
        <f>IF(F117=0,"Interruption comparateur  Désactivée","Interruption comparateur  activée")</f>
        <v>Interruption comparateur  Désactivée</v>
      </c>
      <c r="H117" s="12"/>
      <c r="I117" s="12"/>
      <c r="J117" s="12"/>
      <c r="K117" s="12"/>
      <c r="L117" s="12"/>
      <c r="M117" s="14"/>
    </row>
    <row r="118" spans="1:13" ht="15.75" hidden="1">
      <c r="A118" s="15"/>
      <c r="B118" s="12"/>
      <c r="C118" s="12"/>
      <c r="D118" s="12" t="s">
        <v>46</v>
      </c>
      <c r="E118" s="12"/>
      <c r="F118" s="70">
        <v>0</v>
      </c>
      <c r="G118" s="12" t="s">
        <v>61</v>
      </c>
      <c r="H118" s="12"/>
      <c r="I118" s="12"/>
      <c r="J118" s="12"/>
      <c r="K118" s="12"/>
      <c r="L118" s="12"/>
      <c r="M118" s="14"/>
    </row>
    <row r="119" spans="1:13" ht="15.75" hidden="1">
      <c r="A119" s="15"/>
      <c r="B119" s="12"/>
      <c r="C119" s="12"/>
      <c r="D119" s="12" t="s">
        <v>49</v>
      </c>
      <c r="E119" s="12"/>
      <c r="F119" s="70">
        <v>0</v>
      </c>
      <c r="G119" s="12" t="s">
        <v>61</v>
      </c>
      <c r="H119" s="12"/>
      <c r="I119" s="12"/>
      <c r="J119" s="12"/>
      <c r="K119" s="12"/>
      <c r="L119" s="12"/>
      <c r="M119" s="14"/>
    </row>
    <row r="120" spans="1:13" ht="16.5" hidden="1" thickBot="1">
      <c r="A120" s="15"/>
      <c r="B120" s="12"/>
      <c r="C120" s="12"/>
      <c r="D120" s="12" t="s">
        <v>53</v>
      </c>
      <c r="E120" s="12" t="s">
        <v>120</v>
      </c>
      <c r="F120" s="71">
        <v>0</v>
      </c>
      <c r="G120" s="19" t="str">
        <f>IF(F120=0,"Interruption débordement tmr1   Désactivée","Interruption débordement tmr1  activée")</f>
        <v>Interruption débordement tmr1   Désactivée</v>
      </c>
      <c r="H120" s="12"/>
      <c r="I120" s="12"/>
      <c r="J120" s="12"/>
      <c r="K120" s="12"/>
      <c r="L120" s="12"/>
      <c r="M120" s="14"/>
    </row>
    <row r="121" spans="1:13" ht="12.75" hidden="1">
      <c r="A121" s="15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4"/>
    </row>
    <row r="122" spans="1:13" ht="15.75" hidden="1">
      <c r="A122" s="15"/>
      <c r="B122" s="12"/>
      <c r="C122" s="12"/>
      <c r="D122" s="13" t="s">
        <v>121</v>
      </c>
      <c r="E122" s="12"/>
      <c r="F122" s="12"/>
      <c r="G122" s="37" t="str">
        <f>"  b'"&amp;F113&amp;F114&amp;F115&amp;F116&amp;F117&amp;F118&amp;F119&amp;F120&amp;"'"</f>
        <v>  b'00000000'</v>
      </c>
      <c r="H122" s="54" t="s">
        <v>122</v>
      </c>
      <c r="I122" s="13" t="str">
        <f>"  %"&amp;F113&amp;F114&amp;F115&amp;F116&amp;F117&amp;F118&amp;F119&amp;F120</f>
        <v>  %00000000</v>
      </c>
      <c r="J122" s="12"/>
      <c r="K122" s="12"/>
      <c r="L122" s="12"/>
      <c r="M122" s="14"/>
    </row>
    <row r="123" spans="1:13" ht="12.75" hidden="1">
      <c r="A123" s="15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4"/>
    </row>
    <row r="124" spans="1:13" ht="12.75" hidden="1">
      <c r="A124" s="15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4"/>
    </row>
    <row r="125" spans="1:16" ht="12.75" hidden="1">
      <c r="A125" s="4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1"/>
    </row>
    <row r="126" spans="1:16" ht="12.75" hidden="1">
      <c r="A126" s="42" t="s">
        <v>123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4"/>
    </row>
    <row r="127" spans="1:16" ht="12.75" hidden="1">
      <c r="A127" s="15"/>
      <c r="B127" s="12"/>
      <c r="C127" s="16" t="s">
        <v>124</v>
      </c>
      <c r="D127" s="13" t="s">
        <v>125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4"/>
    </row>
    <row r="128" spans="1:16" ht="12.75" hidden="1">
      <c r="A128" s="15"/>
      <c r="B128" s="12"/>
      <c r="C128" s="12"/>
      <c r="D128" s="13"/>
      <c r="E128" s="12" t="s">
        <v>126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4"/>
    </row>
    <row r="129" spans="1:16" ht="12.75" hidden="1">
      <c r="A129" s="15"/>
      <c r="B129" s="12"/>
      <c r="C129" s="12"/>
      <c r="D129" s="12"/>
      <c r="E129" s="19"/>
      <c r="F129" s="12"/>
      <c r="G129" s="60"/>
      <c r="H129" s="12"/>
      <c r="I129" s="12"/>
      <c r="J129" s="12"/>
      <c r="K129" s="12"/>
      <c r="L129" s="12"/>
      <c r="M129" s="12"/>
      <c r="N129" s="12"/>
      <c r="O129" s="12"/>
      <c r="P129" s="14"/>
    </row>
    <row r="130" spans="1:16" ht="12.75" hidden="1">
      <c r="A130" s="15"/>
      <c r="B130" s="12"/>
      <c r="C130" s="12"/>
      <c r="D130" s="12"/>
      <c r="E130" s="60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4"/>
    </row>
    <row r="131" spans="1:16" ht="12.75" hidden="1">
      <c r="A131" s="15"/>
      <c r="B131" s="12"/>
      <c r="C131" s="12"/>
      <c r="D131" s="12"/>
      <c r="E131" s="60"/>
      <c r="F131" s="12"/>
      <c r="G131" s="12"/>
      <c r="H131" s="12"/>
      <c r="I131" s="12"/>
      <c r="J131" s="60" t="s">
        <v>44</v>
      </c>
      <c r="K131" s="60" t="s">
        <v>46</v>
      </c>
      <c r="L131" s="60" t="s">
        <v>49</v>
      </c>
      <c r="M131" s="12"/>
      <c r="N131" s="12"/>
      <c r="O131" s="12"/>
      <c r="P131" s="14"/>
    </row>
    <row r="132" spans="1:16" ht="15.75" hidden="1">
      <c r="A132" s="15"/>
      <c r="B132" s="12"/>
      <c r="C132" s="12"/>
      <c r="D132" s="12" t="s">
        <v>60</v>
      </c>
      <c r="E132" s="19"/>
      <c r="F132" s="72">
        <v>0</v>
      </c>
      <c r="G132" s="12" t="s">
        <v>127</v>
      </c>
      <c r="H132" s="12"/>
      <c r="I132" s="73">
        <v>1</v>
      </c>
      <c r="J132" s="16">
        <v>0</v>
      </c>
      <c r="K132" s="16">
        <v>0</v>
      </c>
      <c r="L132" s="16">
        <v>0</v>
      </c>
      <c r="M132" s="12" t="s">
        <v>128</v>
      </c>
      <c r="N132" s="12"/>
      <c r="O132" s="12"/>
      <c r="P132" s="14"/>
    </row>
    <row r="133" spans="1:16" ht="15.75" hidden="1">
      <c r="A133" s="15"/>
      <c r="B133" s="12"/>
      <c r="C133" s="12"/>
      <c r="D133" s="12" t="s">
        <v>34</v>
      </c>
      <c r="E133" s="19" t="s">
        <v>129</v>
      </c>
      <c r="F133" s="65">
        <v>0</v>
      </c>
      <c r="G133" s="12" t="s">
        <v>130</v>
      </c>
      <c r="H133" s="12"/>
      <c r="I133" s="74">
        <v>2</v>
      </c>
      <c r="J133" s="75">
        <v>1</v>
      </c>
      <c r="K133" s="75">
        <v>1</v>
      </c>
      <c r="L133" s="75">
        <v>1</v>
      </c>
      <c r="M133" s="76" t="s">
        <v>131</v>
      </c>
      <c r="N133" s="12"/>
      <c r="O133" s="12"/>
      <c r="P133" s="14"/>
    </row>
    <row r="134" spans="1:16" ht="15.75" hidden="1">
      <c r="A134" s="15"/>
      <c r="B134" s="12"/>
      <c r="C134" s="12"/>
      <c r="D134" s="12" t="s">
        <v>37</v>
      </c>
      <c r="E134" s="19"/>
      <c r="F134" s="69">
        <v>0</v>
      </c>
      <c r="G134" s="12" t="s">
        <v>127</v>
      </c>
      <c r="H134" s="12"/>
      <c r="I134" s="73">
        <v>3</v>
      </c>
      <c r="J134" s="16">
        <v>0</v>
      </c>
      <c r="K134" s="16">
        <v>1</v>
      </c>
      <c r="L134" s="16">
        <v>0</v>
      </c>
      <c r="M134" s="12" t="s">
        <v>132</v>
      </c>
      <c r="N134" s="12"/>
      <c r="O134" s="12"/>
      <c r="P134" s="14"/>
    </row>
    <row r="135" spans="1:16" ht="15.75" hidden="1">
      <c r="A135" s="15"/>
      <c r="B135" s="12"/>
      <c r="C135" s="12"/>
      <c r="D135" s="12" t="s">
        <v>40</v>
      </c>
      <c r="E135" s="19" t="s">
        <v>133</v>
      </c>
      <c r="F135" s="44">
        <v>0</v>
      </c>
      <c r="G135" s="19" t="str">
        <f>IF(F136=0,"NON Inversion du bit b6 COUT","Inversion du bit b6 COUT ")</f>
        <v>NON Inversion du bit b6 COUT</v>
      </c>
      <c r="H135" s="12"/>
      <c r="I135" s="74">
        <v>4</v>
      </c>
      <c r="J135" s="16">
        <v>0</v>
      </c>
      <c r="K135" s="16">
        <v>0</v>
      </c>
      <c r="L135" s="16">
        <v>1</v>
      </c>
      <c r="M135" s="12" t="s">
        <v>134</v>
      </c>
      <c r="N135" s="12"/>
      <c r="O135" s="12"/>
      <c r="P135" s="14"/>
    </row>
    <row r="136" spans="1:16" ht="15.75" hidden="1">
      <c r="A136" s="15"/>
      <c r="B136" s="12"/>
      <c r="C136" s="12"/>
      <c r="D136" s="12" t="s">
        <v>44</v>
      </c>
      <c r="E136" s="77" t="s">
        <v>135</v>
      </c>
      <c r="F136" s="44">
        <v>0</v>
      </c>
      <c r="G136" s="19" t="str">
        <f>IF(F135=0,"Vin-   connecte à CIN- GP1","Vin- connect2 à CIN+ GP0")</f>
        <v>Vin-   connecte à CIN- GP1</v>
      </c>
      <c r="H136" s="12"/>
      <c r="I136" s="73">
        <v>5</v>
      </c>
      <c r="J136" s="16">
        <v>1</v>
      </c>
      <c r="K136" s="16">
        <v>0</v>
      </c>
      <c r="L136" s="16">
        <v>0</v>
      </c>
      <c r="M136" s="78" t="s">
        <v>136</v>
      </c>
      <c r="N136" s="12"/>
      <c r="O136" s="12"/>
      <c r="P136" s="14"/>
    </row>
    <row r="137" spans="1:16" ht="15.75" hidden="1">
      <c r="A137" s="15"/>
      <c r="B137" s="12"/>
      <c r="C137" s="12"/>
      <c r="D137" s="12" t="s">
        <v>46</v>
      </c>
      <c r="E137" s="19" t="s">
        <v>137</v>
      </c>
      <c r="F137" s="44">
        <v>1</v>
      </c>
      <c r="G137" s="12"/>
      <c r="H137" s="12"/>
      <c r="I137" s="74">
        <v>6</v>
      </c>
      <c r="J137" s="16">
        <v>0</v>
      </c>
      <c r="K137" s="16">
        <v>1</v>
      </c>
      <c r="L137" s="16">
        <v>1</v>
      </c>
      <c r="M137" s="78" t="s">
        <v>138</v>
      </c>
      <c r="N137" s="12"/>
      <c r="O137" s="12"/>
      <c r="P137" s="14"/>
    </row>
    <row r="138" spans="1:16" ht="15.75" hidden="1">
      <c r="A138" s="15"/>
      <c r="B138" s="12"/>
      <c r="C138" s="12"/>
      <c r="D138" s="12" t="s">
        <v>49</v>
      </c>
      <c r="E138" s="19" t="s">
        <v>139</v>
      </c>
      <c r="F138" s="44">
        <v>1</v>
      </c>
      <c r="G138" s="12"/>
      <c r="H138" s="12"/>
      <c r="I138" s="79">
        <v>7</v>
      </c>
      <c r="J138" s="16">
        <v>1</v>
      </c>
      <c r="K138" s="16">
        <v>1</v>
      </c>
      <c r="L138" s="16">
        <v>0</v>
      </c>
      <c r="M138" s="78" t="s">
        <v>140</v>
      </c>
      <c r="N138" s="12"/>
      <c r="O138" s="12"/>
      <c r="P138" s="14"/>
    </row>
    <row r="139" spans="1:16" ht="16.5" hidden="1" thickBot="1">
      <c r="A139" s="15"/>
      <c r="B139" s="12"/>
      <c r="C139" s="12"/>
      <c r="D139" s="12" t="s">
        <v>53</v>
      </c>
      <c r="E139" s="19" t="s">
        <v>141</v>
      </c>
      <c r="F139" s="80">
        <v>1</v>
      </c>
      <c r="G139" s="12"/>
      <c r="H139" s="12"/>
      <c r="I139" s="81">
        <v>8</v>
      </c>
      <c r="J139" s="16">
        <v>1</v>
      </c>
      <c r="K139" s="16">
        <v>0</v>
      </c>
      <c r="L139" s="16">
        <v>1</v>
      </c>
      <c r="M139" s="78" t="s">
        <v>142</v>
      </c>
      <c r="N139" s="12"/>
      <c r="O139" s="12"/>
      <c r="P139" s="14"/>
    </row>
    <row r="140" spans="1:16" ht="12.75" hidden="1">
      <c r="A140" s="15"/>
      <c r="B140" s="12"/>
      <c r="C140" s="12"/>
      <c r="D140" s="12"/>
      <c r="E140" s="60"/>
      <c r="F140" s="60"/>
      <c r="G140" s="12"/>
      <c r="H140" s="12"/>
      <c r="I140" s="12"/>
      <c r="J140" s="12"/>
      <c r="K140" s="12"/>
      <c r="L140" s="12"/>
      <c r="M140" s="12"/>
      <c r="N140" s="12"/>
      <c r="O140" s="12"/>
      <c r="P140" s="14"/>
    </row>
    <row r="141" spans="1:16" ht="15.75" hidden="1">
      <c r="A141" s="15"/>
      <c r="B141" s="12"/>
      <c r="C141" s="12"/>
      <c r="D141" s="13" t="s">
        <v>143</v>
      </c>
      <c r="E141" s="60"/>
      <c r="F141" s="60"/>
      <c r="G141" s="37" t="str">
        <f>"  b'"&amp;F132&amp;F133&amp;F134&amp;F135&amp;F136&amp;F137&amp;F138&amp;F139&amp;"'"</f>
        <v>  b'00000111'</v>
      </c>
      <c r="H141" s="54" t="s">
        <v>144</v>
      </c>
      <c r="I141" s="13" t="str">
        <f>"  %"&amp;F132&amp;F133&amp;F134&amp;F135&amp;F136&amp;F137&amp;F138&amp;F139</f>
        <v>  %00000111</v>
      </c>
      <c r="J141" s="12"/>
      <c r="K141" s="12"/>
      <c r="L141" s="12"/>
      <c r="M141" s="12"/>
      <c r="N141" s="12"/>
      <c r="O141" s="12"/>
      <c r="P141" s="14"/>
    </row>
    <row r="142" spans="1:16" ht="15.75" hidden="1">
      <c r="A142" s="15"/>
      <c r="B142" s="12"/>
      <c r="C142" s="12"/>
      <c r="D142" s="12"/>
      <c r="E142" s="12"/>
      <c r="F142" s="12"/>
      <c r="G142" s="37"/>
      <c r="H142" s="12"/>
      <c r="I142" s="12"/>
      <c r="J142" s="12"/>
      <c r="K142" s="12"/>
      <c r="L142" s="12"/>
      <c r="M142" s="12"/>
      <c r="N142" s="12"/>
      <c r="O142" s="12"/>
      <c r="P142" s="14"/>
    </row>
    <row r="143" spans="1:16" ht="12.75" hidden="1">
      <c r="A143" s="15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4"/>
    </row>
    <row r="144" spans="1:16" ht="12.75" hidden="1">
      <c r="A144" s="15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4"/>
    </row>
    <row r="145" spans="1:16" ht="12.75" hidden="1">
      <c r="A145" s="15"/>
      <c r="B145" s="12"/>
      <c r="C145" s="16" t="s">
        <v>145</v>
      </c>
      <c r="D145" s="13" t="s">
        <v>146</v>
      </c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4"/>
    </row>
    <row r="146" spans="1:16" ht="12.75" hidden="1">
      <c r="A146" s="15"/>
      <c r="B146" s="12"/>
      <c r="C146" s="12"/>
      <c r="D146" s="12"/>
      <c r="E146" s="12" t="s">
        <v>147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4"/>
    </row>
    <row r="147" spans="1:16" ht="12.75" hidden="1">
      <c r="A147" s="15"/>
      <c r="B147" s="12"/>
      <c r="C147" s="12"/>
      <c r="D147" s="12"/>
      <c r="E147" s="12"/>
      <c r="F147" s="12"/>
      <c r="G147" s="82" t="s">
        <v>148</v>
      </c>
      <c r="H147" s="16">
        <v>5.15</v>
      </c>
      <c r="I147" s="13" t="s">
        <v>149</v>
      </c>
      <c r="J147" s="12"/>
      <c r="K147" s="12"/>
      <c r="L147" s="12"/>
      <c r="M147" s="12"/>
      <c r="N147" s="12"/>
      <c r="O147" s="12"/>
      <c r="P147" s="14"/>
    </row>
    <row r="148" spans="1:16" ht="15.75" hidden="1">
      <c r="A148" s="15"/>
      <c r="B148" s="12"/>
      <c r="C148" s="12"/>
      <c r="D148" s="12" t="s">
        <v>60</v>
      </c>
      <c r="E148" s="12" t="s">
        <v>150</v>
      </c>
      <c r="F148" s="83">
        <v>0</v>
      </c>
      <c r="G148" s="19" t="str">
        <f>IF(F148=1," référence active","référence non active")</f>
        <v>référence non active</v>
      </c>
      <c r="H148" s="12"/>
      <c r="I148" s="12"/>
      <c r="J148" s="12"/>
      <c r="K148" s="12"/>
      <c r="L148" s="12"/>
      <c r="M148" s="12"/>
      <c r="N148" s="12"/>
      <c r="O148" s="12"/>
      <c r="P148" s="14"/>
    </row>
    <row r="149" spans="1:16" ht="15.75" hidden="1">
      <c r="A149" s="15"/>
      <c r="B149" s="12"/>
      <c r="C149" s="12"/>
      <c r="D149" s="12" t="s">
        <v>34</v>
      </c>
      <c r="E149" s="12">
        <v>0</v>
      </c>
      <c r="F149" s="84">
        <v>0</v>
      </c>
      <c r="G149" s="12"/>
      <c r="H149" s="32"/>
      <c r="I149" s="12"/>
      <c r="J149" s="12"/>
      <c r="K149" s="12"/>
      <c r="L149" s="12"/>
      <c r="M149" s="12"/>
      <c r="N149" s="12"/>
      <c r="O149" s="12"/>
      <c r="P149" s="14"/>
    </row>
    <row r="150" spans="1:16" ht="15.75" hidden="1">
      <c r="A150" s="15"/>
      <c r="B150" s="12"/>
      <c r="C150" s="12"/>
      <c r="D150" s="12" t="s">
        <v>37</v>
      </c>
      <c r="E150" s="12" t="s">
        <v>151</v>
      </c>
      <c r="F150" s="85">
        <v>0</v>
      </c>
      <c r="G150" s="86" t="s">
        <v>152</v>
      </c>
      <c r="H150" s="26">
        <f>IF(F150=0,H147/4,0)</f>
        <v>1.2875</v>
      </c>
      <c r="I150" s="12"/>
      <c r="J150" s="12"/>
      <c r="K150" s="12"/>
      <c r="L150" s="12"/>
      <c r="M150" s="12"/>
      <c r="N150" s="12"/>
      <c r="O150" s="12"/>
      <c r="P150" s="14"/>
    </row>
    <row r="151" spans="1:16" ht="15.75" hidden="1">
      <c r="A151" s="15"/>
      <c r="B151" s="12"/>
      <c r="C151" s="12"/>
      <c r="D151" s="12" t="s">
        <v>40</v>
      </c>
      <c r="E151" s="12"/>
      <c r="F151" s="84">
        <v>0</v>
      </c>
      <c r="G151" s="12"/>
      <c r="H151" s="26"/>
      <c r="I151" s="12"/>
      <c r="J151" s="12"/>
      <c r="K151" s="12"/>
      <c r="L151" s="12"/>
      <c r="M151" s="12"/>
      <c r="N151" s="12"/>
      <c r="O151" s="12"/>
      <c r="P151" s="14"/>
    </row>
    <row r="152" spans="1:16" ht="15.75" hidden="1">
      <c r="A152" s="15"/>
      <c r="B152" s="12"/>
      <c r="C152" s="12"/>
      <c r="D152" s="12" t="s">
        <v>44</v>
      </c>
      <c r="E152" s="12"/>
      <c r="F152" s="85">
        <v>1</v>
      </c>
      <c r="G152" s="12"/>
      <c r="H152" s="26">
        <f>IF(F152=1,8,0)</f>
        <v>8</v>
      </c>
      <c r="I152" s="12"/>
      <c r="J152" s="12"/>
      <c r="K152" s="12"/>
      <c r="L152" s="12"/>
      <c r="M152" s="12"/>
      <c r="N152" s="12"/>
      <c r="O152" s="12"/>
      <c r="P152" s="14"/>
    </row>
    <row r="153" spans="1:16" ht="15.75" hidden="1">
      <c r="A153" s="15"/>
      <c r="B153" s="12"/>
      <c r="C153" s="12"/>
      <c r="D153" s="12" t="s">
        <v>46</v>
      </c>
      <c r="E153" s="12"/>
      <c r="F153" s="87">
        <v>1</v>
      </c>
      <c r="G153" s="12"/>
      <c r="H153" s="26">
        <f>IF(F153=1,4,0)</f>
        <v>4</v>
      </c>
      <c r="I153" s="12"/>
      <c r="J153" s="12"/>
      <c r="K153" s="12"/>
      <c r="L153" s="12"/>
      <c r="M153" s="12"/>
      <c r="N153" s="12"/>
      <c r="O153" s="12"/>
      <c r="P153" s="14"/>
    </row>
    <row r="154" spans="1:16" ht="15.75" hidden="1">
      <c r="A154" s="15"/>
      <c r="B154" s="12"/>
      <c r="C154" s="12"/>
      <c r="D154" s="12" t="s">
        <v>49</v>
      </c>
      <c r="E154" s="12"/>
      <c r="F154" s="87">
        <v>0</v>
      </c>
      <c r="G154" s="12"/>
      <c r="H154" s="26">
        <f>IF(F154=1,2,0)</f>
        <v>0</v>
      </c>
      <c r="I154" s="12"/>
      <c r="J154" s="12"/>
      <c r="K154" s="12"/>
      <c r="L154" s="12"/>
      <c r="M154" s="12"/>
      <c r="N154" s="12"/>
      <c r="O154" s="12"/>
      <c r="P154" s="14"/>
    </row>
    <row r="155" spans="1:16" ht="16.5" hidden="1" thickBot="1">
      <c r="A155" s="15"/>
      <c r="B155" s="12"/>
      <c r="C155" s="12"/>
      <c r="D155" s="12" t="s">
        <v>53</v>
      </c>
      <c r="E155" s="12"/>
      <c r="F155" s="88">
        <v>1</v>
      </c>
      <c r="G155" s="12"/>
      <c r="H155" s="26">
        <f>IF(F155=1,1,0)</f>
        <v>1</v>
      </c>
      <c r="I155" s="12"/>
      <c r="J155" s="12"/>
      <c r="K155" s="12"/>
      <c r="L155" s="12"/>
      <c r="M155" s="12"/>
      <c r="N155" s="12"/>
      <c r="O155" s="12"/>
      <c r="P155" s="14"/>
    </row>
    <row r="156" spans="1:16" ht="15.75" hidden="1">
      <c r="A156" s="15"/>
      <c r="B156" s="12"/>
      <c r="C156" s="12"/>
      <c r="D156" s="12"/>
      <c r="E156" s="12"/>
      <c r="F156" s="12"/>
      <c r="G156" s="89" t="s">
        <v>153</v>
      </c>
      <c r="H156" s="90">
        <f>H150+H147*(H152+H153+H154+H155)/32</f>
        <v>3.3796875</v>
      </c>
      <c r="I156" s="12"/>
      <c r="J156" s="12"/>
      <c r="K156" s="12"/>
      <c r="L156" s="12"/>
      <c r="M156" s="12"/>
      <c r="N156" s="12"/>
      <c r="O156" s="12"/>
      <c r="P156" s="14"/>
    </row>
    <row r="157" spans="1:16" ht="15.75" hidden="1">
      <c r="A157" s="15"/>
      <c r="B157" s="12"/>
      <c r="C157" s="12"/>
      <c r="D157" s="13" t="s">
        <v>154</v>
      </c>
      <c r="E157" s="60"/>
      <c r="F157" s="60"/>
      <c r="G157" s="37" t="str">
        <f>"  b'"&amp;F148&amp;F149&amp;F150&amp;F151&amp;F152&amp;F153&amp;F154&amp;F155&amp;"'"</f>
        <v>  b'00001101'</v>
      </c>
      <c r="H157" s="54" t="s">
        <v>155</v>
      </c>
      <c r="I157" s="13" t="str">
        <f>"  %"&amp;F148&amp;F149&amp;F150&amp;F151&amp;F152&amp;F153&amp;F154&amp;F155</f>
        <v>  %00001101</v>
      </c>
      <c r="J157" s="12"/>
      <c r="K157" s="12"/>
      <c r="L157" s="12"/>
      <c r="M157" s="12"/>
      <c r="N157" s="12"/>
      <c r="O157" s="12"/>
      <c r="P157" s="14"/>
    </row>
    <row r="158" spans="1:16" ht="12.75" hidden="1">
      <c r="A158" s="38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40"/>
    </row>
    <row r="159" spans="1:13" ht="12.75" hidden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1:13" ht="12.75" hidden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1:13" ht="12.75" hidden="1">
      <c r="A161" s="13" t="s">
        <v>156</v>
      </c>
      <c r="B161" s="12"/>
      <c r="C161" s="16" t="s">
        <v>157</v>
      </c>
      <c r="D161" s="13" t="s">
        <v>158</v>
      </c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1:13" ht="12.75" hidden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1:13" ht="15.75" hidden="1">
      <c r="A163" s="12"/>
      <c r="B163" s="12"/>
      <c r="C163" s="12"/>
      <c r="D163" s="12" t="s">
        <v>60</v>
      </c>
      <c r="E163" s="12"/>
      <c r="F163" s="68">
        <v>0</v>
      </c>
      <c r="G163" s="12" t="s">
        <v>61</v>
      </c>
      <c r="H163" s="12"/>
      <c r="I163" s="12"/>
      <c r="J163" s="12"/>
      <c r="K163" s="12"/>
      <c r="L163" s="12"/>
      <c r="M163" s="12"/>
    </row>
    <row r="164" spans="1:13" ht="15.75" hidden="1">
      <c r="A164" s="12"/>
      <c r="B164" s="12"/>
      <c r="C164" s="12"/>
      <c r="D164" s="12" t="s">
        <v>34</v>
      </c>
      <c r="E164" s="12" t="s">
        <v>159</v>
      </c>
      <c r="F164" s="91">
        <v>0</v>
      </c>
      <c r="G164" s="19" t="str">
        <f>IF(F164=0,"Timer1   Activé","Timer1  activé si b2  T1G est bas")</f>
        <v>Timer1   Activé</v>
      </c>
      <c r="H164" s="12" t="s">
        <v>160</v>
      </c>
      <c r="I164" s="12"/>
      <c r="J164" s="26"/>
      <c r="K164" s="12"/>
      <c r="L164" s="12"/>
      <c r="M164" s="12"/>
    </row>
    <row r="165" spans="1:13" ht="16.5" hidden="1" thickBot="1">
      <c r="A165" s="15" t="s">
        <v>161</v>
      </c>
      <c r="B165" s="12"/>
      <c r="C165" s="12"/>
      <c r="D165" s="12" t="s">
        <v>37</v>
      </c>
      <c r="E165" s="12" t="s">
        <v>162</v>
      </c>
      <c r="F165" s="92">
        <v>0</v>
      </c>
      <c r="G165" s="82" t="s">
        <v>163</v>
      </c>
      <c r="H165" s="93">
        <f>1/J168</f>
        <v>1</v>
      </c>
      <c r="I165" s="12"/>
      <c r="J165" s="26">
        <f>IF(F165=0,0,4)</f>
        <v>0</v>
      </c>
      <c r="K165" s="12"/>
      <c r="L165" s="12"/>
      <c r="M165" s="12"/>
    </row>
    <row r="166" spans="1:13" ht="16.5" hidden="1" thickBot="1">
      <c r="A166" t="s">
        <v>164</v>
      </c>
      <c r="B166" s="12"/>
      <c r="C166" s="12"/>
      <c r="D166" s="12" t="s">
        <v>40</v>
      </c>
      <c r="E166" s="12" t="s">
        <v>165</v>
      </c>
      <c r="F166" s="92">
        <v>0</v>
      </c>
      <c r="G166" s="12"/>
      <c r="H166" s="94">
        <f>0.065356/H165</f>
        <v>0.065356</v>
      </c>
      <c r="I166" s="12" t="s">
        <v>36</v>
      </c>
      <c r="J166" s="26">
        <f>IF(F166=0,0,1)</f>
        <v>0</v>
      </c>
      <c r="K166" s="12"/>
      <c r="L166" s="12"/>
      <c r="M166" s="12"/>
    </row>
    <row r="167" spans="1:13" ht="15.75" hidden="1">
      <c r="A167" s="95">
        <v>0.065356</v>
      </c>
      <c r="B167" s="12" t="s">
        <v>36</v>
      </c>
      <c r="C167" s="12"/>
      <c r="D167" s="12" t="s">
        <v>44</v>
      </c>
      <c r="E167" s="12" t="s">
        <v>166</v>
      </c>
      <c r="F167" s="96">
        <v>0</v>
      </c>
      <c r="G167" s="19" t="str">
        <f>IF(F167=0,"oscillation LP  off","oscillation LP  valité pour l'horloge Timer1 ")</f>
        <v>oscillation LP  off</v>
      </c>
      <c r="H167" s="12"/>
      <c r="I167" s="12"/>
      <c r="J167" s="26">
        <f>J165+J166</f>
        <v>0</v>
      </c>
      <c r="K167" s="12"/>
      <c r="L167" s="12"/>
      <c r="M167" s="12"/>
    </row>
    <row r="168" spans="1:13" ht="15.75" hidden="1">
      <c r="A168" s="15" t="s">
        <v>39</v>
      </c>
      <c r="B168" s="12"/>
      <c r="C168" s="12"/>
      <c r="D168" s="12" t="s">
        <v>46</v>
      </c>
      <c r="E168" s="12" t="s">
        <v>167</v>
      </c>
      <c r="F168" s="96">
        <v>0</v>
      </c>
      <c r="G168" s="19" t="str">
        <f>IF(F168=0,"Synchronise l'horloge ext","pas de synchronisation  ")</f>
        <v>Synchronise l'horloge ext</v>
      </c>
      <c r="H168" s="12" t="s">
        <v>168</v>
      </c>
      <c r="I168" s="12"/>
      <c r="J168" s="26">
        <f>IF(J167=0,1,IF(J167=1,2,IF(J167=4,4,IF(J167=5,8,"0"))))</f>
        <v>1</v>
      </c>
      <c r="K168" s="12"/>
      <c r="L168" s="12"/>
      <c r="M168" s="12"/>
    </row>
    <row r="169" spans="1:13" ht="15.75" hidden="1">
      <c r="A169" s="15" t="s">
        <v>43</v>
      </c>
      <c r="B169" s="12"/>
      <c r="C169" s="12"/>
      <c r="D169" s="12" t="s">
        <v>49</v>
      </c>
      <c r="E169" s="12" t="s">
        <v>169</v>
      </c>
      <c r="F169" s="96">
        <v>0</v>
      </c>
      <c r="G169" s="19" t="str">
        <f>IF(F169=0,"Horloge interne sélectionnée( Fosc/4)","Horloge externe selectionnée")</f>
        <v>Horloge interne sélectionnée( Fosc/4)</v>
      </c>
      <c r="H169" s="12"/>
      <c r="I169" s="12"/>
      <c r="J169" s="12"/>
      <c r="K169" s="12"/>
      <c r="L169" s="12"/>
      <c r="M169" s="12"/>
    </row>
    <row r="170" spans="1:13" ht="16.5" hidden="1" thickBot="1">
      <c r="A170" s="97">
        <f>H166</f>
        <v>0.065356</v>
      </c>
      <c r="B170" s="12" t="s">
        <v>36</v>
      </c>
      <c r="C170" s="12"/>
      <c r="D170" s="12" t="s">
        <v>53</v>
      </c>
      <c r="E170" s="12" t="s">
        <v>170</v>
      </c>
      <c r="F170" s="98">
        <v>1</v>
      </c>
      <c r="G170" s="19" t="str">
        <f>IF(F170=0,"Timer1   Désactivé","Timer1  activé")</f>
        <v>Timer1  activé</v>
      </c>
      <c r="H170" s="12"/>
      <c r="I170" s="12"/>
      <c r="J170" s="12"/>
      <c r="K170" s="12"/>
      <c r="L170" s="12"/>
      <c r="M170" s="12"/>
    </row>
    <row r="171" spans="1:13" ht="12.75" hidden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1:13" ht="15.75" hidden="1">
      <c r="A172" s="12"/>
      <c r="B172" s="12"/>
      <c r="C172" s="12"/>
      <c r="D172" s="13" t="s">
        <v>171</v>
      </c>
      <c r="E172" s="12"/>
      <c r="F172" s="12"/>
      <c r="G172" s="37" t="str">
        <f>"  b'"&amp;F163&amp;F164&amp;F165&amp;F166&amp;F167&amp;F168&amp;F169&amp;F170&amp;"'"</f>
        <v>  b'00000001'</v>
      </c>
      <c r="H172" s="54" t="s">
        <v>172</v>
      </c>
      <c r="I172" s="13" t="str">
        <f>"  %"&amp;F163&amp;F164&amp;F165&amp;F166&amp;F167&amp;F168&amp;F169&amp;F170</f>
        <v>  %00000001</v>
      </c>
      <c r="J172" s="12"/>
      <c r="K172" s="12"/>
      <c r="L172" s="12"/>
      <c r="M172" s="12"/>
    </row>
    <row r="173" spans="1:13" ht="15.75" hidden="1">
      <c r="A173" s="12"/>
      <c r="B173" s="12"/>
      <c r="C173" s="12"/>
      <c r="D173" s="13"/>
      <c r="E173" s="12"/>
      <c r="F173" s="12"/>
      <c r="G173" s="37"/>
      <c r="H173" s="48"/>
      <c r="I173" s="12"/>
      <c r="J173" s="12"/>
      <c r="K173" s="12"/>
      <c r="L173" s="12"/>
      <c r="M173" s="12"/>
    </row>
    <row r="174" spans="1:16" ht="15.75" hidden="1">
      <c r="A174" s="41"/>
      <c r="B174" s="10"/>
      <c r="C174" s="10"/>
      <c r="D174" s="57"/>
      <c r="E174" s="10"/>
      <c r="F174" s="10"/>
      <c r="G174" s="58"/>
      <c r="H174" s="99"/>
      <c r="I174" s="10"/>
      <c r="J174" s="10"/>
      <c r="K174" s="10"/>
      <c r="L174" s="10"/>
      <c r="M174" s="10"/>
      <c r="N174" s="10"/>
      <c r="O174" s="10"/>
      <c r="P174" s="11"/>
    </row>
    <row r="175" spans="1:16" ht="12.75" hidden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4"/>
    </row>
    <row r="176" spans="1:16" ht="12.75" hidden="1">
      <c r="A176" s="42" t="s">
        <v>173</v>
      </c>
      <c r="B176" s="13"/>
      <c r="C176" s="16" t="s">
        <v>174</v>
      </c>
      <c r="D176" s="13" t="s">
        <v>175</v>
      </c>
      <c r="E176" s="13"/>
      <c r="F176" s="13"/>
      <c r="G176" s="13"/>
      <c r="H176" s="12"/>
      <c r="I176" s="12"/>
      <c r="J176" s="12"/>
      <c r="K176" s="12"/>
      <c r="L176" s="12"/>
      <c r="M176" s="12"/>
      <c r="N176" s="12"/>
      <c r="O176" s="12"/>
      <c r="P176" s="14"/>
    </row>
    <row r="177" spans="1:16" ht="12.75" hidden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4"/>
    </row>
    <row r="178" spans="1:16" ht="12.75" hidden="1">
      <c r="A178" s="15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4"/>
    </row>
    <row r="179" spans="1:16" ht="15.75" hidden="1">
      <c r="A179" s="15"/>
      <c r="B179" s="12"/>
      <c r="C179" s="12"/>
      <c r="D179" s="12" t="s">
        <v>60</v>
      </c>
      <c r="E179" s="12" t="s">
        <v>176</v>
      </c>
      <c r="F179" s="100">
        <v>0</v>
      </c>
      <c r="G179" s="19" t="str">
        <f>IF(F179=0,"Ref=VDD","Ref= Pin")</f>
        <v>Ref=VDD</v>
      </c>
      <c r="H179" s="12"/>
      <c r="I179" s="12"/>
      <c r="J179" s="12"/>
      <c r="K179" s="12"/>
      <c r="L179" s="12"/>
      <c r="M179" s="12"/>
      <c r="N179" s="12"/>
      <c r="O179" s="12"/>
      <c r="P179" s="14"/>
    </row>
    <row r="180" spans="1:16" ht="15.75" hidden="1">
      <c r="A180" s="15"/>
      <c r="B180" s="12"/>
      <c r="C180" s="12"/>
      <c r="D180" s="12" t="s">
        <v>34</v>
      </c>
      <c r="E180" s="12" t="s">
        <v>177</v>
      </c>
      <c r="F180" s="96">
        <v>0</v>
      </c>
      <c r="G180" s="19" t="str">
        <f>IF(F180=0,"Justifié à gauche","Justifié à droite")</f>
        <v>Justifié à gauche</v>
      </c>
      <c r="H180" s="12"/>
      <c r="I180" s="12"/>
      <c r="J180" s="12"/>
      <c r="K180" s="12"/>
      <c r="L180" s="12"/>
      <c r="M180" s="12"/>
      <c r="N180" s="12"/>
      <c r="O180" s="12"/>
      <c r="P180" s="14"/>
    </row>
    <row r="181" spans="1:16" ht="15.75" hidden="1">
      <c r="A181" s="15"/>
      <c r="B181" s="12"/>
      <c r="C181" s="12"/>
      <c r="D181" s="12" t="s">
        <v>37</v>
      </c>
      <c r="E181" s="12"/>
      <c r="F181" s="70">
        <v>0</v>
      </c>
      <c r="G181" s="12" t="s">
        <v>61</v>
      </c>
      <c r="H181" s="12"/>
      <c r="I181" s="12"/>
      <c r="J181" s="12"/>
      <c r="K181" s="12"/>
      <c r="L181" s="12"/>
      <c r="M181" s="12"/>
      <c r="N181" s="12"/>
      <c r="O181" s="12"/>
      <c r="P181" s="14"/>
    </row>
    <row r="182" spans="1:16" ht="15.75" hidden="1">
      <c r="A182" s="15"/>
      <c r="B182" s="12"/>
      <c r="C182" s="12"/>
      <c r="D182" s="12" t="s">
        <v>40</v>
      </c>
      <c r="E182" s="12"/>
      <c r="F182" s="70">
        <v>0</v>
      </c>
      <c r="G182" s="12" t="s">
        <v>61</v>
      </c>
      <c r="H182" s="12"/>
      <c r="I182" s="12"/>
      <c r="J182" s="12"/>
      <c r="K182" s="12"/>
      <c r="L182" s="12"/>
      <c r="M182" s="12"/>
      <c r="N182" s="12"/>
      <c r="O182" s="12"/>
      <c r="P182" s="14"/>
    </row>
    <row r="183" spans="1:16" ht="15.75" hidden="1">
      <c r="A183" s="15"/>
      <c r="B183" s="12"/>
      <c r="C183" s="12"/>
      <c r="D183" s="12" t="s">
        <v>44</v>
      </c>
      <c r="E183" s="12" t="s">
        <v>178</v>
      </c>
      <c r="F183" s="91">
        <v>0</v>
      </c>
      <c r="G183" s="12"/>
      <c r="H183" s="12"/>
      <c r="I183" s="12"/>
      <c r="J183" s="12"/>
      <c r="K183" s="12"/>
      <c r="L183" s="12"/>
      <c r="M183" s="12"/>
      <c r="N183" s="12"/>
      <c r="O183" s="12"/>
      <c r="P183" s="14"/>
    </row>
    <row r="184" spans="1:16" ht="15.75" hidden="1">
      <c r="A184" s="15"/>
      <c r="B184" s="12"/>
      <c r="C184" s="12"/>
      <c r="D184" s="12" t="s">
        <v>46</v>
      </c>
      <c r="E184" s="101" t="s">
        <v>179</v>
      </c>
      <c r="F184" s="91">
        <v>0</v>
      </c>
      <c r="G184" s="16" t="str">
        <f>IF((10*F183+F184=0),"   AN0 sélectionné",IF((10*F183+F184=1),"   AN1 sélectionné",IF((10*F183+F184=10),"   AN2 sélectionné",IF((10*F183+F184)=11,"   AN3 sélectionné"," "))))</f>
        <v>   AN0 sélectionné</v>
      </c>
      <c r="H184" s="76"/>
      <c r="I184" s="12"/>
      <c r="J184" s="12"/>
      <c r="K184" s="12"/>
      <c r="L184" s="12"/>
      <c r="M184" s="12"/>
      <c r="N184" s="12"/>
      <c r="O184" s="12"/>
      <c r="P184" s="14"/>
    </row>
    <row r="185" spans="1:16" ht="15.75" hidden="1">
      <c r="A185" s="15"/>
      <c r="B185" s="12"/>
      <c r="C185" s="12"/>
      <c r="D185" s="12" t="s">
        <v>49</v>
      </c>
      <c r="E185" s="101" t="s">
        <v>180</v>
      </c>
      <c r="F185" s="102">
        <v>0</v>
      </c>
      <c r="G185" s="12" t="s">
        <v>181</v>
      </c>
      <c r="H185" s="12"/>
      <c r="I185" s="12"/>
      <c r="J185" s="12"/>
      <c r="K185" s="12"/>
      <c r="L185" s="12"/>
      <c r="M185" s="12"/>
      <c r="N185" s="12"/>
      <c r="O185" s="12"/>
      <c r="P185" s="14"/>
    </row>
    <row r="186" spans="1:16" ht="16.5" hidden="1" thickBot="1">
      <c r="A186" s="15"/>
      <c r="B186" s="12"/>
      <c r="C186" s="12"/>
      <c r="D186" s="12" t="s">
        <v>53</v>
      </c>
      <c r="E186" s="101" t="s">
        <v>182</v>
      </c>
      <c r="F186" s="103">
        <v>1</v>
      </c>
      <c r="G186" s="19" t="str">
        <f>IF(F186=0,"Convertisseur    Désactivé","convertisseur  activé")</f>
        <v>convertisseur  activé</v>
      </c>
      <c r="H186" s="13" t="s">
        <v>183</v>
      </c>
      <c r="I186" s="12"/>
      <c r="J186" s="12"/>
      <c r="K186" s="12"/>
      <c r="L186" s="12"/>
      <c r="M186" s="12"/>
      <c r="N186" s="12"/>
      <c r="O186" s="12"/>
      <c r="P186" s="14"/>
    </row>
    <row r="187" spans="1:16" ht="12.75" hidden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4"/>
    </row>
    <row r="188" spans="1:16" ht="15.75" hidden="1">
      <c r="A188" s="15"/>
      <c r="B188" s="12"/>
      <c r="C188" s="12"/>
      <c r="D188" s="13" t="s">
        <v>184</v>
      </c>
      <c r="E188" s="12"/>
      <c r="F188" s="12"/>
      <c r="G188" s="37" t="str">
        <f>"  b'"&amp;F179&amp;F180&amp;F181&amp;F182&amp;F183&amp;F184&amp;F185&amp;F186&amp;"'"</f>
        <v>  b'00000001'</v>
      </c>
      <c r="H188" s="54" t="s">
        <v>185</v>
      </c>
      <c r="I188" s="13" t="str">
        <f>"  %"&amp;F179&amp;F180&amp;F181&amp;F182&amp;F183&amp;F184&amp;F185&amp;F186</f>
        <v>  %00000001</v>
      </c>
      <c r="J188" s="12"/>
      <c r="K188" s="12"/>
      <c r="L188" s="12"/>
      <c r="M188" s="12"/>
      <c r="N188" s="12"/>
      <c r="O188" s="12"/>
      <c r="P188" s="14"/>
    </row>
    <row r="189" spans="1:16" ht="12.75" hidden="1">
      <c r="A189" s="38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40"/>
    </row>
    <row r="190" spans="1:13" ht="12.75" hidden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1:13" ht="12.75" hidden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1:13" ht="12.75" hidden="1">
      <c r="A192" s="42" t="s">
        <v>173</v>
      </c>
      <c r="B192" s="13"/>
      <c r="C192" s="16" t="s">
        <v>174</v>
      </c>
      <c r="D192" s="13" t="s">
        <v>186</v>
      </c>
      <c r="E192" s="13"/>
      <c r="F192" s="13"/>
      <c r="G192" s="13"/>
      <c r="H192" s="12"/>
      <c r="I192" s="12"/>
      <c r="J192" s="12"/>
      <c r="K192" s="12"/>
      <c r="L192" s="12"/>
      <c r="M192" s="12"/>
    </row>
    <row r="193" spans="1:13" ht="12.75" hidden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1:13" ht="12.75" hidden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1:13" ht="15.75" hidden="1">
      <c r="A195" s="12"/>
      <c r="B195" s="12"/>
      <c r="C195" s="12"/>
      <c r="D195" s="12" t="s">
        <v>60</v>
      </c>
      <c r="E195" s="12"/>
      <c r="F195" s="100">
        <v>0</v>
      </c>
      <c r="G195" s="12" t="s">
        <v>61</v>
      </c>
      <c r="H195" s="12"/>
      <c r="I195" s="12"/>
      <c r="J195" s="12"/>
      <c r="K195" s="12"/>
      <c r="L195" s="12"/>
      <c r="M195" s="12"/>
    </row>
    <row r="196" spans="1:13" ht="15.75" hidden="1">
      <c r="A196" s="12"/>
      <c r="B196" s="12"/>
      <c r="C196" s="12"/>
      <c r="D196" s="12" t="s">
        <v>34</v>
      </c>
      <c r="E196" s="12" t="s">
        <v>187</v>
      </c>
      <c r="F196" s="104">
        <v>0</v>
      </c>
      <c r="G196" s="12"/>
      <c r="H196" s="12" t="s">
        <v>188</v>
      </c>
      <c r="I196" s="12"/>
      <c r="J196" s="12"/>
      <c r="K196" s="12"/>
      <c r="L196" s="12"/>
      <c r="M196" s="12"/>
    </row>
    <row r="197" spans="1:13" ht="15.75" hidden="1">
      <c r="A197" s="12"/>
      <c r="B197" s="12"/>
      <c r="C197" s="12"/>
      <c r="D197" s="12" t="s">
        <v>37</v>
      </c>
      <c r="E197" s="12" t="s">
        <v>189</v>
      </c>
      <c r="F197" s="104">
        <v>0</v>
      </c>
      <c r="G197" s="12"/>
      <c r="H197" s="12" t="s">
        <v>190</v>
      </c>
      <c r="I197" s="12"/>
      <c r="J197" s="12"/>
      <c r="K197" s="12"/>
      <c r="L197" s="12"/>
      <c r="M197" s="12"/>
    </row>
    <row r="198" spans="1:13" ht="15.75" hidden="1">
      <c r="A198" s="12"/>
      <c r="B198" s="12"/>
      <c r="C198" s="12"/>
      <c r="D198" s="12" t="s">
        <v>40</v>
      </c>
      <c r="E198" s="12" t="s">
        <v>191</v>
      </c>
      <c r="F198" s="104">
        <v>1</v>
      </c>
      <c r="G198" s="16" t="str">
        <f>IF((100*F196+10*F197+F198=0),"   Fosc/2",IF((100*F196+10*F197+F198=1),"   Fosc/8",IF((100*F196+10*F197+F198=10),"   Fosc/32",IF((100*F196+10*F197+F198=11),"    Frc",IF((100*F196+10*F197+F198=100),"   Fosc/4",IF((100*F196+10*F197+F198=101),"   Fosc/16",IF((100*F196+10*F197+F198=110),"  Fosc/64"," ")))))))</f>
        <v>   Fosc/8</v>
      </c>
      <c r="H198" s="12" t="s">
        <v>192</v>
      </c>
      <c r="I198" s="12"/>
      <c r="J198" s="12"/>
      <c r="K198" s="12"/>
      <c r="L198" s="12"/>
      <c r="M198" s="12"/>
    </row>
    <row r="199" spans="1:13" ht="15.75" hidden="1">
      <c r="A199" s="12"/>
      <c r="B199" s="12"/>
      <c r="C199" s="12"/>
      <c r="D199" s="12" t="s">
        <v>44</v>
      </c>
      <c r="E199" s="12" t="s">
        <v>193</v>
      </c>
      <c r="F199" s="96">
        <v>0</v>
      </c>
      <c r="G199" s="19" t="str">
        <f>IF(F199=1,"Entée analogique","Entrée digitale ")</f>
        <v>Entrée digitale </v>
      </c>
      <c r="H199" s="12"/>
      <c r="I199" s="12"/>
      <c r="J199" s="12"/>
      <c r="K199" s="12"/>
      <c r="L199" s="12"/>
      <c r="M199" s="12"/>
    </row>
    <row r="200" spans="1:13" ht="15.75" hidden="1">
      <c r="A200" s="12"/>
      <c r="B200" s="12"/>
      <c r="C200" s="12"/>
      <c r="D200" s="12" t="s">
        <v>46</v>
      </c>
      <c r="E200" s="12" t="s">
        <v>194</v>
      </c>
      <c r="F200" s="96">
        <v>0</v>
      </c>
      <c r="G200" s="19" t="str">
        <f>IF(F200=1,"Entée analogique","Entrée digitale ")</f>
        <v>Entrée digitale </v>
      </c>
      <c r="H200" s="12"/>
      <c r="I200" s="12"/>
      <c r="J200" s="12"/>
      <c r="K200" s="12"/>
      <c r="L200" s="12"/>
      <c r="M200" s="12"/>
    </row>
    <row r="201" spans="1:13" ht="15.75" hidden="1">
      <c r="A201" s="12"/>
      <c r="B201" s="12"/>
      <c r="C201" s="12"/>
      <c r="D201" s="12" t="s">
        <v>49</v>
      </c>
      <c r="E201" s="12" t="s">
        <v>195</v>
      </c>
      <c r="F201" s="96">
        <v>0</v>
      </c>
      <c r="G201" s="19" t="str">
        <f>IF(F201=1,"Entée analogique","Entrée digitale ")</f>
        <v>Entrée digitale </v>
      </c>
      <c r="H201" s="12"/>
      <c r="I201" s="12"/>
      <c r="J201" s="12"/>
      <c r="K201" s="12"/>
      <c r="L201" s="12"/>
      <c r="M201" s="12"/>
    </row>
    <row r="202" spans="1:13" ht="16.5" hidden="1" thickBot="1">
      <c r="A202" s="12"/>
      <c r="B202" s="12"/>
      <c r="C202" s="12"/>
      <c r="D202" s="12" t="s">
        <v>53</v>
      </c>
      <c r="E202" s="12" t="s">
        <v>196</v>
      </c>
      <c r="F202" s="103">
        <v>1</v>
      </c>
      <c r="G202" s="19" t="str">
        <f>IF(F202=1,"Entée analogique","Entrée digitale ")</f>
        <v>Entée analogique</v>
      </c>
      <c r="H202" s="12"/>
      <c r="I202" s="12"/>
      <c r="J202" s="12"/>
      <c r="K202" s="12"/>
      <c r="L202" s="12"/>
      <c r="M202" s="12"/>
    </row>
    <row r="203" spans="1:13" ht="12.75" hidden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1:13" ht="15.75" hidden="1">
      <c r="A204" s="12"/>
      <c r="B204" s="12"/>
      <c r="C204" s="12"/>
      <c r="D204" s="67" t="s">
        <v>197</v>
      </c>
      <c r="E204" s="12"/>
      <c r="F204" s="12"/>
      <c r="G204" s="37" t="str">
        <f>"  b'"&amp;F195&amp;F196&amp;F197&amp;F198&amp;F199&amp;F200&amp;F201&amp;F202&amp;"'"</f>
        <v>  b'00010001'</v>
      </c>
      <c r="H204" s="48" t="s">
        <v>198</v>
      </c>
      <c r="I204" s="12" t="str">
        <f>"  %"&amp;F195&amp;F196&amp;F197&amp;F198&amp;F199&amp;F200&amp;F201&amp;F202</f>
        <v>  %00010001</v>
      </c>
      <c r="J204" s="12"/>
      <c r="K204" s="12"/>
      <c r="L204" s="12"/>
      <c r="M204" s="12"/>
    </row>
    <row r="205" spans="1:13" ht="12.75" hidden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1:16" ht="12.75" hidden="1">
      <c r="A206" s="41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1"/>
    </row>
    <row r="207" spans="1:16" ht="12.75" hidden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4"/>
    </row>
    <row r="208" spans="1:16" ht="12.75" hidden="1">
      <c r="A208" s="15"/>
      <c r="B208" s="12"/>
      <c r="C208" s="16" t="s">
        <v>199</v>
      </c>
      <c r="D208" s="13" t="s">
        <v>200</v>
      </c>
      <c r="E208" s="13"/>
      <c r="F208" s="13"/>
      <c r="G208" s="13"/>
      <c r="H208" s="12"/>
      <c r="I208" s="12"/>
      <c r="J208" s="12"/>
      <c r="K208" s="12"/>
      <c r="L208" s="12"/>
      <c r="M208" s="12"/>
      <c r="N208" s="12"/>
      <c r="O208" s="12"/>
      <c r="P208" s="14"/>
    </row>
    <row r="209" spans="1:16" ht="12.75" hidden="1">
      <c r="A209" s="15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4"/>
    </row>
    <row r="210" spans="1:16" ht="12.75" hidden="1">
      <c r="A210" s="15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4"/>
    </row>
    <row r="211" spans="1:16" ht="15.75" hidden="1">
      <c r="A211" s="15"/>
      <c r="B211" s="12"/>
      <c r="C211" s="12"/>
      <c r="D211" s="12" t="s">
        <v>60</v>
      </c>
      <c r="E211" s="12" t="s">
        <v>201</v>
      </c>
      <c r="F211" s="105">
        <v>0</v>
      </c>
      <c r="G211" s="19" t="str">
        <f>IF(F211=1,"Convertion A/D  COMPLETE ","Convertion A/D  INCOMPLETE ")</f>
        <v>Convertion A/D  INCOMPLETE </v>
      </c>
      <c r="H211" s="12"/>
      <c r="I211" s="12"/>
      <c r="J211" s="12"/>
      <c r="K211" s="12"/>
      <c r="L211" s="12"/>
      <c r="M211" s="12"/>
      <c r="N211" s="12"/>
      <c r="O211" s="12"/>
      <c r="P211" s="14"/>
    </row>
    <row r="212" spans="1:16" ht="15.75" hidden="1">
      <c r="A212" s="15"/>
      <c r="B212" s="12"/>
      <c r="C212" s="12"/>
      <c r="D212" s="12" t="s">
        <v>34</v>
      </c>
      <c r="E212" s="12" t="s">
        <v>202</v>
      </c>
      <c r="F212" s="102">
        <v>0</v>
      </c>
      <c r="G212" s="19" t="str">
        <f>IF(F212=1,"Ecriture dans l'EEPROM complete ","Ecriture dans l'EEPROM PAS terminée ")</f>
        <v>Ecriture dans l'EEPROM PAS terminée </v>
      </c>
      <c r="H212" s="12"/>
      <c r="I212" s="12"/>
      <c r="J212" s="12"/>
      <c r="K212" s="12"/>
      <c r="L212" s="12"/>
      <c r="M212" s="12"/>
      <c r="N212" s="12"/>
      <c r="O212" s="12"/>
      <c r="P212" s="14"/>
    </row>
    <row r="213" spans="1:16" ht="15.75" hidden="1">
      <c r="A213" s="15"/>
      <c r="B213" s="12"/>
      <c r="C213" s="12"/>
      <c r="D213" s="12" t="s">
        <v>37</v>
      </c>
      <c r="E213" s="12"/>
      <c r="F213" s="70">
        <v>0</v>
      </c>
      <c r="G213" s="12" t="s">
        <v>61</v>
      </c>
      <c r="H213" s="12"/>
      <c r="I213" s="12"/>
      <c r="J213" s="12"/>
      <c r="K213" s="12"/>
      <c r="L213" s="12"/>
      <c r="M213" s="12"/>
      <c r="N213" s="12"/>
      <c r="O213" s="12"/>
      <c r="P213" s="14"/>
    </row>
    <row r="214" spans="1:16" ht="15.75" hidden="1">
      <c r="A214" s="15"/>
      <c r="B214" s="12"/>
      <c r="C214" s="12"/>
      <c r="D214" s="12" t="s">
        <v>40</v>
      </c>
      <c r="E214" s="12"/>
      <c r="F214" s="70">
        <v>0</v>
      </c>
      <c r="G214" s="12" t="s">
        <v>61</v>
      </c>
      <c r="H214" s="12"/>
      <c r="I214" s="12"/>
      <c r="J214" s="12"/>
      <c r="K214" s="12"/>
      <c r="L214" s="12"/>
      <c r="M214" s="12"/>
      <c r="N214" s="12"/>
      <c r="O214" s="12"/>
      <c r="P214" s="14"/>
    </row>
    <row r="215" spans="1:16" ht="15.75" hidden="1">
      <c r="A215" s="15"/>
      <c r="B215" s="12"/>
      <c r="C215" s="12"/>
      <c r="D215" s="12" t="s">
        <v>44</v>
      </c>
      <c r="E215" s="12" t="s">
        <v>203</v>
      </c>
      <c r="F215" s="102">
        <v>0</v>
      </c>
      <c r="G215" s="19" t="str">
        <f>IF(F215=1,"l'entrée du comparateur à changée ","l'entrée du comparateur n'à  PAS changée ")</f>
        <v>l'entrée du comparateur n'à  PAS changée </v>
      </c>
      <c r="H215" s="12"/>
      <c r="I215" s="12"/>
      <c r="J215" s="12"/>
      <c r="K215" s="12"/>
      <c r="L215" s="12"/>
      <c r="M215" s="12"/>
      <c r="N215" s="12"/>
      <c r="O215" s="12"/>
      <c r="P215" s="14"/>
    </row>
    <row r="216" spans="1:16" ht="15.75" hidden="1">
      <c r="A216" s="15"/>
      <c r="B216" s="12"/>
      <c r="C216" s="12"/>
      <c r="D216" s="12" t="s">
        <v>46</v>
      </c>
      <c r="E216" s="12"/>
      <c r="F216" s="70">
        <v>0</v>
      </c>
      <c r="G216" s="12"/>
      <c r="H216" s="12"/>
      <c r="I216" s="12"/>
      <c r="J216" s="12"/>
      <c r="K216" s="12"/>
      <c r="L216" s="12"/>
      <c r="M216" s="12"/>
      <c r="N216" s="12"/>
      <c r="O216" s="12"/>
      <c r="P216" s="14"/>
    </row>
    <row r="217" spans="1:16" ht="15.75" hidden="1">
      <c r="A217" s="15"/>
      <c r="B217" s="12"/>
      <c r="C217" s="12"/>
      <c r="D217" s="12" t="s">
        <v>49</v>
      </c>
      <c r="E217" s="12"/>
      <c r="F217" s="70">
        <v>0</v>
      </c>
      <c r="G217" s="12"/>
      <c r="H217" s="12"/>
      <c r="I217" s="12"/>
      <c r="J217" s="12"/>
      <c r="K217" s="12"/>
      <c r="L217" s="12"/>
      <c r="M217" s="12"/>
      <c r="N217" s="12"/>
      <c r="O217" s="12"/>
      <c r="P217" s="14"/>
    </row>
    <row r="218" spans="1:16" ht="16.5" hidden="1" thickBot="1">
      <c r="A218" s="15"/>
      <c r="B218" s="12"/>
      <c r="C218" s="12"/>
      <c r="D218" s="12" t="s">
        <v>53</v>
      </c>
      <c r="E218" s="12" t="s">
        <v>204</v>
      </c>
      <c r="F218" s="106">
        <v>0</v>
      </c>
      <c r="G218" s="19" t="str">
        <f>IF(F218=1,"Débordement du TIMER1 ","PAS de Débordement du TIMER1 ")</f>
        <v>PAS de Débordement du TIMER1 </v>
      </c>
      <c r="H218" s="12"/>
      <c r="I218" s="12"/>
      <c r="J218" s="12"/>
      <c r="K218" s="12"/>
      <c r="L218" s="12"/>
      <c r="M218" s="12"/>
      <c r="N218" s="12"/>
      <c r="O218" s="12"/>
      <c r="P218" s="14"/>
    </row>
    <row r="219" spans="1:16" ht="15.75" hidden="1">
      <c r="A219" s="15"/>
      <c r="B219" s="12"/>
      <c r="C219" s="12"/>
      <c r="D219" s="12"/>
      <c r="E219" s="12"/>
      <c r="F219" s="107"/>
      <c r="G219" s="19"/>
      <c r="H219" s="12"/>
      <c r="I219" s="12"/>
      <c r="J219" s="12"/>
      <c r="K219" s="12"/>
      <c r="L219" s="12"/>
      <c r="M219" s="12"/>
      <c r="N219" s="12"/>
      <c r="O219" s="12"/>
      <c r="P219" s="14"/>
    </row>
    <row r="220" spans="1:16" ht="15.75" hidden="1">
      <c r="A220" s="15"/>
      <c r="B220" s="12"/>
      <c r="C220" s="12"/>
      <c r="D220" s="13" t="s">
        <v>205</v>
      </c>
      <c r="E220" s="12"/>
      <c r="F220" s="107"/>
      <c r="G220" s="37" t="str">
        <f>"  b'"&amp;F211&amp;F212&amp;F213&amp;F214&amp;F215&amp;F216&amp;F217&amp;F218&amp;"'"</f>
        <v>  b'00000000'</v>
      </c>
      <c r="H220" s="54" t="s">
        <v>206</v>
      </c>
      <c r="I220" s="13" t="str">
        <f>"  %"&amp;F211&amp;F212&amp;F213&amp;F214&amp;F215&amp;F216&amp;F217&amp;F218</f>
        <v>  %00000000</v>
      </c>
      <c r="J220" s="12"/>
      <c r="K220" s="12"/>
      <c r="L220" s="12"/>
      <c r="M220" s="12"/>
      <c r="N220" s="12"/>
      <c r="O220" s="12"/>
      <c r="P220" s="14"/>
    </row>
    <row r="221" spans="1:16" ht="15.75" hidden="1">
      <c r="A221" s="38"/>
      <c r="B221" s="39"/>
      <c r="C221" s="39"/>
      <c r="D221" s="39"/>
      <c r="E221" s="39"/>
      <c r="F221" s="108"/>
      <c r="G221" s="109"/>
      <c r="H221" s="39"/>
      <c r="I221" s="39"/>
      <c r="J221" s="39"/>
      <c r="K221" s="39"/>
      <c r="L221" s="39"/>
      <c r="M221" s="39"/>
      <c r="N221" s="39"/>
      <c r="O221" s="39"/>
      <c r="P221" s="40"/>
    </row>
    <row r="222" spans="1:13" ht="15.75" hidden="1">
      <c r="A222" s="110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1:13" ht="15.75" hidden="1">
      <c r="A223" s="110" t="s">
        <v>261</v>
      </c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1:13" ht="15.75" hidden="1">
      <c r="A224" s="110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ht="15.75" hidden="1">
      <c r="A225" s="2" t="s">
        <v>207</v>
      </c>
    </row>
    <row r="226" ht="12.75" hidden="1"/>
    <row r="227" ht="12.75" hidden="1"/>
    <row r="228" ht="12.75" hidden="1">
      <c r="A228" t="s">
        <v>208</v>
      </c>
    </row>
    <row r="229" ht="12.75" hidden="1">
      <c r="A229" t="s">
        <v>209</v>
      </c>
    </row>
    <row r="230" ht="12.75" hidden="1"/>
    <row r="231" ht="12.75" hidden="1">
      <c r="A231" t="str">
        <f>B27</f>
        <v>__CONFIG    _CP_OFF  &amp; _PWRTE_ON  &amp; _WDT_ON  &amp; _XT_OSC</v>
      </c>
    </row>
    <row r="232" ht="12.75" hidden="1"/>
    <row r="233" ht="12.75" hidden="1"/>
    <row r="234" ht="12.75" hidden="1">
      <c r="A234" t="str">
        <f>D45&amp;G45</f>
        <v>OPTIONVAL    EQU  b'00000000'</v>
      </c>
    </row>
    <row r="235" ht="12.75" hidden="1">
      <c r="A235" t="str">
        <f>D59&amp;G59</f>
        <v>TRISIOVAL      EQU  b'00001000'</v>
      </c>
    </row>
    <row r="236" ht="12.75" hidden="1">
      <c r="A236" t="str">
        <f>D72&amp;G72</f>
        <v>WPUVAL         EQU  b'00000000'</v>
      </c>
    </row>
    <row r="237" ht="12.75" hidden="1">
      <c r="A237" t="str">
        <f>D81&amp;G81</f>
        <v>OSCCALVAL   EQU  b'10000000'</v>
      </c>
    </row>
    <row r="238" ht="12.75" hidden="1">
      <c r="A238" t="str">
        <f>D96&amp;G96</f>
        <v>INTCONVAL     EQU  b'00000000'</v>
      </c>
    </row>
    <row r="239" ht="12.75" hidden="1">
      <c r="A239" t="str">
        <f>D109&amp;G109</f>
        <v>IOCVAL           EQU  b'00000000'</v>
      </c>
    </row>
    <row r="240" ht="12.75" hidden="1">
      <c r="A240" t="str">
        <f>D122&amp;G122</f>
        <v>PIE1VAL          EQU  b'00000000'</v>
      </c>
    </row>
    <row r="241" ht="12.75" hidden="1">
      <c r="A241" t="str">
        <f>D141&amp;G141</f>
        <v>CMCONVAL    EQU  b'00000111'</v>
      </c>
    </row>
    <row r="242" ht="12.75" hidden="1">
      <c r="A242" t="str">
        <f>D157&amp;G157</f>
        <v>VRCONVAL    EQU  b'00001101'</v>
      </c>
    </row>
    <row r="243" ht="12.75" hidden="1">
      <c r="A243" t="str">
        <f>D172&amp;G172</f>
        <v>T1CONAL        EQU  b'00000001'</v>
      </c>
    </row>
    <row r="244" ht="12.75" hidden="1">
      <c r="A244" t="str">
        <f>D188&amp;G188</f>
        <v>ADCON0        EQU  b'00000001'</v>
      </c>
    </row>
    <row r="245" ht="12.75" hidden="1">
      <c r="A245" t="str">
        <f>D204&amp;G204</f>
        <v>ANSEL         EQU  b'00010001'</v>
      </c>
    </row>
    <row r="246" ht="12.75" hidden="1">
      <c r="A246" t="str">
        <f>D220&amp;G220</f>
        <v>PIR1        EQU  b'00000000'</v>
      </c>
    </row>
    <row r="247" ht="12.75" hidden="1"/>
    <row r="248" ht="12.75" hidden="1"/>
    <row r="249" ht="15.75" hidden="1">
      <c r="A249" s="110" t="s">
        <v>210</v>
      </c>
    </row>
    <row r="250" ht="12.75" hidden="1"/>
    <row r="251" ht="12.75" hidden="1"/>
    <row r="252" ht="15.75" hidden="1">
      <c r="A252" s="2" t="s">
        <v>211</v>
      </c>
    </row>
    <row r="253" ht="12.75" hidden="1"/>
    <row r="254" ht="12.75" hidden="1">
      <c r="A254" t="str">
        <f>H45&amp;I45</f>
        <v>OPTION_REG =  %00000000</v>
      </c>
    </row>
    <row r="255" ht="12.75" hidden="1">
      <c r="A255" t="str">
        <f>H59&amp;I59</f>
        <v>TRISIO=  %00001000</v>
      </c>
    </row>
    <row r="256" ht="12.75" hidden="1">
      <c r="A256" t="str">
        <f>H72&amp;I72</f>
        <v>WPU=  %00000000</v>
      </c>
    </row>
    <row r="257" ht="12.75" hidden="1">
      <c r="A257" t="str">
        <f>H81&amp;I81</f>
        <v>OSCCAL=  %10000000</v>
      </c>
    </row>
    <row r="258" ht="12.75" hidden="1">
      <c r="A258" t="str">
        <f>H96&amp;I96</f>
        <v>INTCON=  %00000000</v>
      </c>
    </row>
    <row r="259" ht="12.75" hidden="1">
      <c r="A259" t="str">
        <f>H109&amp;I109</f>
        <v>IOC=  %00000000</v>
      </c>
    </row>
    <row r="260" ht="12.75" hidden="1">
      <c r="A260" t="str">
        <f>H122&amp;I122</f>
        <v>PIE1=  %00000000</v>
      </c>
    </row>
    <row r="261" ht="12.75" hidden="1">
      <c r="A261" t="str">
        <f>H141&amp;I141</f>
        <v>CMCON  %00000111</v>
      </c>
    </row>
    <row r="262" ht="12.75" hidden="1">
      <c r="A262" t="str">
        <f>H157&amp;I157</f>
        <v>VRCON=  %00001101</v>
      </c>
    </row>
    <row r="263" ht="12.75" hidden="1">
      <c r="A263" t="str">
        <f>H172&amp;I172</f>
        <v>T1CON=  %00000001</v>
      </c>
    </row>
    <row r="264" ht="12.75" hidden="1">
      <c r="A264" t="str">
        <f>H188&amp;I188</f>
        <v>ADCON0=  %00000001</v>
      </c>
    </row>
    <row r="265" ht="12.75">
      <c r="A265" t="str">
        <f>H204&amp;I204</f>
        <v>ANSEL=  %00010001</v>
      </c>
    </row>
    <row r="266" ht="12.75">
      <c r="A266" t="str">
        <f>H220&amp;I220</f>
        <v>PIR1=  %00000000</v>
      </c>
    </row>
    <row r="268" ht="15.75">
      <c r="A268" s="2" t="s">
        <v>262</v>
      </c>
    </row>
    <row r="270" ht="12.75">
      <c r="A270" t="s">
        <v>263</v>
      </c>
    </row>
    <row r="271" ht="12.75">
      <c r="A271" t="s">
        <v>264</v>
      </c>
    </row>
    <row r="272" ht="12.75">
      <c r="A272" t="str">
        <f>B27</f>
        <v>__CONFIG    _CP_OFF  &amp; _PWRTE_ON  &amp; _WDT_ON  &amp; _XT_OSC</v>
      </c>
    </row>
    <row r="275" ht="12.75">
      <c r="A275" t="s">
        <v>265</v>
      </c>
    </row>
    <row r="276" ht="12.75">
      <c r="A276" t="s">
        <v>266</v>
      </c>
    </row>
    <row r="277" ht="12.75">
      <c r="A277" t="str">
        <f>"__CONFIG  '"&amp;$H$12&amp;"'"</f>
        <v>__CONFIG  '3FF5'</v>
      </c>
    </row>
    <row r="279" ht="12.75">
      <c r="A279" t="s">
        <v>267</v>
      </c>
    </row>
    <row r="280" ht="12.75">
      <c r="A280" t="s">
        <v>268</v>
      </c>
    </row>
    <row r="281" ht="12.75">
      <c r="A281" t="str">
        <f>"__CONFIG  '"&amp;$H$12&amp;"'"</f>
        <v>__CONFIG  '3FF5'</v>
      </c>
    </row>
    <row r="284" spans="1:10" ht="12.75">
      <c r="A284" s="10"/>
      <c r="B284" s="10"/>
      <c r="C284" s="10"/>
      <c r="D284" s="10"/>
      <c r="E284" s="10"/>
      <c r="F284" s="10"/>
      <c r="G284" s="10"/>
      <c r="H284" s="10"/>
      <c r="I284" s="10"/>
      <c r="J284" s="11"/>
    </row>
    <row r="285" spans="1:10" ht="12.75">
      <c r="A285" s="12"/>
      <c r="B285" s="13" t="s">
        <v>2</v>
      </c>
      <c r="C285" s="13"/>
      <c r="D285" s="12"/>
      <c r="E285" s="12"/>
      <c r="F285" s="12"/>
      <c r="G285" s="12"/>
      <c r="H285" s="12"/>
      <c r="I285" s="12"/>
      <c r="J285" s="14"/>
    </row>
    <row r="286" spans="1:10" ht="12.75">
      <c r="A286" s="12"/>
      <c r="B286" s="12"/>
      <c r="C286" s="12"/>
      <c r="D286" s="12"/>
      <c r="E286" s="12"/>
      <c r="F286" s="12"/>
      <c r="G286" s="12"/>
      <c r="H286" s="12"/>
      <c r="I286" s="12"/>
      <c r="J286" s="14"/>
    </row>
    <row r="287" spans="1:10" ht="12.75">
      <c r="A287" s="12"/>
      <c r="B287" s="12"/>
      <c r="C287" s="12"/>
      <c r="D287" s="12"/>
      <c r="E287" s="12"/>
      <c r="F287" s="12"/>
      <c r="G287" s="12"/>
      <c r="H287" s="12"/>
      <c r="I287" s="12"/>
      <c r="J287" s="14"/>
    </row>
    <row r="288" spans="1:10" ht="12.75">
      <c r="A288" s="12"/>
      <c r="B288" s="12"/>
      <c r="C288" s="12"/>
      <c r="D288" s="12"/>
      <c r="E288" s="12"/>
      <c r="F288" s="12"/>
      <c r="G288" s="12"/>
      <c r="H288" s="12"/>
      <c r="I288" s="12"/>
      <c r="J288" s="14"/>
    </row>
    <row r="289" spans="1:10" ht="12.75">
      <c r="A289" s="13" t="s">
        <v>29</v>
      </c>
      <c r="B289" s="12"/>
      <c r="C289" s="12"/>
      <c r="D289" s="12"/>
      <c r="E289" s="12"/>
      <c r="F289" s="12"/>
      <c r="G289" s="12"/>
      <c r="H289" s="12"/>
      <c r="I289" s="12"/>
      <c r="J289" s="14"/>
    </row>
    <row r="290" spans="1:10" ht="13.5" thickBot="1">
      <c r="A290" s="12"/>
      <c r="B290" s="12"/>
      <c r="C290" s="12"/>
      <c r="D290" s="12"/>
      <c r="E290" s="12"/>
      <c r="F290" s="12"/>
      <c r="G290" s="12"/>
      <c r="H290" s="12"/>
      <c r="I290" s="12"/>
      <c r="J290" s="14"/>
    </row>
    <row r="291" spans="1:10" ht="15.75">
      <c r="A291" s="154" t="s">
        <v>269</v>
      </c>
      <c r="B291" s="12" t="s">
        <v>270</v>
      </c>
      <c r="C291" s="17">
        <v>0</v>
      </c>
      <c r="D291" s="12" t="str">
        <f>IF(C291=0,"Resistance Pull-Up activées","Resistance Pull-Up désactivées")</f>
        <v>Resistance Pull-Up activées</v>
      </c>
      <c r="E291" s="12"/>
      <c r="F291" s="12"/>
      <c r="G291" s="12"/>
      <c r="H291" s="12"/>
      <c r="I291" s="12"/>
      <c r="J291" s="14"/>
    </row>
    <row r="292" spans="1:10" ht="16.5" thickBot="1">
      <c r="A292" s="154" t="s">
        <v>34</v>
      </c>
      <c r="B292" s="12" t="s">
        <v>35</v>
      </c>
      <c r="C292" s="18">
        <v>0</v>
      </c>
      <c r="D292" s="19" t="str">
        <f>IF(C292=0,"Intérruption sur front Descendant de GP2","Intérruption sur front Montant de GP2")</f>
        <v>Intérruption sur front Descendant de GP2</v>
      </c>
      <c r="E292" s="12"/>
      <c r="F292" s="12"/>
      <c r="G292" s="12"/>
      <c r="H292" s="12"/>
      <c r="I292" s="12"/>
      <c r="J292" s="14"/>
    </row>
    <row r="293" spans="1:10" ht="15.75">
      <c r="A293" s="154" t="s">
        <v>37</v>
      </c>
      <c r="B293" s="12" t="s">
        <v>38</v>
      </c>
      <c r="C293" s="22">
        <v>0</v>
      </c>
      <c r="D293" s="19" t="str">
        <f>IF(C293=0,"Timer 0 synchronisé par Horloge-interne","Timer 0 synchronisé par Horloge externe GP2")</f>
        <v>Timer 0 synchronisé par Horloge-interne</v>
      </c>
      <c r="E293" s="12"/>
      <c r="F293" s="12"/>
      <c r="G293" s="12"/>
      <c r="H293" s="12"/>
      <c r="I293" s="12"/>
      <c r="J293" s="14"/>
    </row>
    <row r="294" spans="1:10" ht="16.5" thickBot="1">
      <c r="A294" s="154" t="s">
        <v>40</v>
      </c>
      <c r="B294" s="12" t="s">
        <v>41</v>
      </c>
      <c r="C294" s="23">
        <v>0</v>
      </c>
      <c r="D294" s="19" t="str">
        <f>IF(C294=0,"Timer 0 synchronisé sur Front-Montant GP2","Timer 0 synchronisé sur Front-Descendant GP2")</f>
        <v>Timer 0 synchronisé sur Front-Montant GP2</v>
      </c>
      <c r="E294" s="12"/>
      <c r="F294" s="12"/>
      <c r="G294" s="12"/>
      <c r="H294" s="12"/>
      <c r="I294" s="24" t="s">
        <v>42</v>
      </c>
      <c r="J294" s="14"/>
    </row>
    <row r="295" spans="1:10" ht="16.5" thickBot="1">
      <c r="A295" s="154" t="s">
        <v>44</v>
      </c>
      <c r="B295" s="12" t="s">
        <v>45</v>
      </c>
      <c r="C295" s="25">
        <v>0</v>
      </c>
      <c r="D295" s="19" t="str">
        <f>IF(C295=0,"Prédiviseur surTimer 0 ","Prédiviseur sur Watchdog")</f>
        <v>Prédiviseur surTimer 0 </v>
      </c>
      <c r="E295" s="12"/>
      <c r="F295" s="12"/>
      <c r="G295" s="26">
        <f>IF(C295=1,2,1)</f>
        <v>1</v>
      </c>
      <c r="H295" s="12"/>
      <c r="I295" s="12"/>
      <c r="J295" s="14"/>
    </row>
    <row r="296" spans="1:10" ht="15.75">
      <c r="A296" s="154" t="s">
        <v>46</v>
      </c>
      <c r="B296" s="12" t="s">
        <v>47</v>
      </c>
      <c r="C296" s="28">
        <v>0</v>
      </c>
      <c r="D296" s="36" t="s">
        <v>48</v>
      </c>
      <c r="E296" s="30">
        <f>(G295/G298/G297/G296)/2</f>
        <v>0.5</v>
      </c>
      <c r="F296" s="12"/>
      <c r="G296" s="26">
        <f>IF(C296=0,1,16)</f>
        <v>1</v>
      </c>
      <c r="H296" s="12"/>
      <c r="I296" s="12"/>
      <c r="J296" s="14"/>
    </row>
    <row r="297" spans="1:10" ht="15.75">
      <c r="A297" s="154" t="s">
        <v>49</v>
      </c>
      <c r="B297" s="12" t="s">
        <v>50</v>
      </c>
      <c r="C297" s="28">
        <v>0</v>
      </c>
      <c r="D297" s="16" t="s">
        <v>271</v>
      </c>
      <c r="E297" s="31" t="s">
        <v>52</v>
      </c>
      <c r="F297" s="12"/>
      <c r="G297" s="26">
        <f>IF(C297=0,1,4)</f>
        <v>1</v>
      </c>
      <c r="H297" s="12"/>
      <c r="I297" s="32"/>
      <c r="J297" s="14"/>
    </row>
    <row r="298" spans="1:10" ht="16.5" thickBot="1">
      <c r="A298" s="154" t="s">
        <v>53</v>
      </c>
      <c r="B298" s="12" t="s">
        <v>54</v>
      </c>
      <c r="C298" s="33">
        <v>0</v>
      </c>
      <c r="D298" s="16" t="s">
        <v>272</v>
      </c>
      <c r="E298" s="34">
        <f>E296</f>
        <v>0.5</v>
      </c>
      <c r="F298" s="16"/>
      <c r="G298" s="26">
        <f>IF(C298=0,1,2)</f>
        <v>1</v>
      </c>
      <c r="H298" s="12"/>
      <c r="I298" s="12"/>
      <c r="J298" s="14"/>
    </row>
    <row r="299" spans="1:10" ht="15.75">
      <c r="A299" s="12"/>
      <c r="B299" s="12"/>
      <c r="C299" s="35"/>
      <c r="D299" s="12"/>
      <c r="F299" s="36"/>
      <c r="G299" s="12"/>
      <c r="H299" s="12"/>
      <c r="I299" s="12"/>
      <c r="J299" s="14"/>
    </row>
    <row r="300" spans="1:10" ht="15.75">
      <c r="A300" s="13" t="s">
        <v>55</v>
      </c>
      <c r="B300" s="12"/>
      <c r="C300" s="35"/>
      <c r="D300" s="37" t="str">
        <f>"  b'"&amp;C291&amp;C292&amp;C293&amp;C294&amp;C295&amp;C296&amp;C297&amp;C298&amp;"'"</f>
        <v>  b'00000000'</v>
      </c>
      <c r="E300" t="s">
        <v>56</v>
      </c>
      <c r="F300" t="str">
        <f>"  %"&amp;C291&amp;C292&amp;C293&amp;C294&amp;C295&amp;C296&amp;C297&amp;C298</f>
        <v>  %00000000</v>
      </c>
      <c r="G300" s="12"/>
      <c r="H300" s="12"/>
      <c r="I300" s="12"/>
      <c r="J300" s="14"/>
    </row>
    <row r="301" spans="1:10" ht="12.75">
      <c r="A301" s="39"/>
      <c r="B301" s="39"/>
      <c r="C301" s="39"/>
      <c r="D301" s="39"/>
      <c r="E301" s="39"/>
      <c r="F301" s="39"/>
      <c r="G301" s="39"/>
      <c r="H301" s="39"/>
      <c r="I301" s="39"/>
      <c r="J301" s="40"/>
    </row>
    <row r="321" ht="15">
      <c r="C321" s="142" t="s">
        <v>273</v>
      </c>
    </row>
    <row r="323" ht="15">
      <c r="B323" s="155" t="s">
        <v>274</v>
      </c>
    </row>
    <row r="324" spans="2:9" ht="15.75">
      <c r="B324" s="2" t="s">
        <v>275</v>
      </c>
      <c r="E324" s="2" t="s">
        <v>276</v>
      </c>
      <c r="I324" s="2" t="s">
        <v>277</v>
      </c>
    </row>
    <row r="326" spans="1:9" ht="12.75">
      <c r="A326" t="s">
        <v>278</v>
      </c>
      <c r="B326" t="s">
        <v>279</v>
      </c>
      <c r="E326" t="s">
        <v>280</v>
      </c>
      <c r="I326" t="s">
        <v>281</v>
      </c>
    </row>
    <row r="327" spans="1:9" ht="12.75">
      <c r="A327" t="s">
        <v>282</v>
      </c>
      <c r="B327" t="s">
        <v>283</v>
      </c>
      <c r="E327" t="s">
        <v>284</v>
      </c>
      <c r="I327" t="s">
        <v>285</v>
      </c>
    </row>
    <row r="328" spans="1:9" ht="12.75">
      <c r="A328" t="s">
        <v>286</v>
      </c>
      <c r="B328" t="s">
        <v>287</v>
      </c>
      <c r="E328" t="s">
        <v>288</v>
      </c>
      <c r="I328" t="s">
        <v>289</v>
      </c>
    </row>
    <row r="329" spans="1:9" ht="12.75">
      <c r="A329" t="s">
        <v>290</v>
      </c>
      <c r="B329" t="s">
        <v>291</v>
      </c>
      <c r="E329" t="s">
        <v>292</v>
      </c>
      <c r="I329" t="s">
        <v>293</v>
      </c>
    </row>
    <row r="330" spans="1:9" ht="12.75">
      <c r="A330" t="s">
        <v>278</v>
      </c>
      <c r="B330" t="s">
        <v>294</v>
      </c>
      <c r="E330" t="s">
        <v>295</v>
      </c>
      <c r="I330" t="s">
        <v>296</v>
      </c>
    </row>
    <row r="331" spans="1:9" ht="12.75">
      <c r="A331" t="s">
        <v>297</v>
      </c>
      <c r="B331" s="156" t="s">
        <v>298</v>
      </c>
      <c r="E331" t="s">
        <v>299</v>
      </c>
      <c r="I331" s="156" t="s">
        <v>300</v>
      </c>
    </row>
    <row r="332" spans="1:5" ht="12.75">
      <c r="A332" t="s">
        <v>297</v>
      </c>
      <c r="B332" t="s">
        <v>301</v>
      </c>
      <c r="E332" t="s">
        <v>302</v>
      </c>
    </row>
    <row r="335" spans="1:9" ht="12.75">
      <c r="A335" t="s">
        <v>303</v>
      </c>
      <c r="B335" t="s">
        <v>304</v>
      </c>
      <c r="E335" t="s">
        <v>305</v>
      </c>
      <c r="I335" t="s">
        <v>306</v>
      </c>
    </row>
    <row r="336" spans="1:9" ht="12.75">
      <c r="A336" t="s">
        <v>307</v>
      </c>
      <c r="B336" t="s">
        <v>308</v>
      </c>
      <c r="E336" t="s">
        <v>309</v>
      </c>
      <c r="I336" t="s">
        <v>308</v>
      </c>
    </row>
    <row r="338" spans="1:10" ht="12.75">
      <c r="A338" t="s">
        <v>1</v>
      </c>
      <c r="B338" t="s">
        <v>310</v>
      </c>
      <c r="E338" t="s">
        <v>311</v>
      </c>
      <c r="I338" t="s">
        <v>312</v>
      </c>
      <c r="J338" t="s">
        <v>313</v>
      </c>
    </row>
    <row r="339" spans="1:10" ht="12.75">
      <c r="A339" t="s">
        <v>314</v>
      </c>
      <c r="B339" s="156" t="s">
        <v>315</v>
      </c>
      <c r="E339" t="s">
        <v>315</v>
      </c>
      <c r="I339" s="156" t="s">
        <v>316</v>
      </c>
      <c r="J339" t="s">
        <v>317</v>
      </c>
    </row>
    <row r="340" spans="1:5" ht="12.75">
      <c r="A340" t="s">
        <v>314</v>
      </c>
      <c r="B340" t="s">
        <v>318</v>
      </c>
      <c r="E340" t="s">
        <v>318</v>
      </c>
    </row>
    <row r="342" ht="15.75">
      <c r="E342" s="2" t="s">
        <v>319</v>
      </c>
    </row>
    <row r="344" spans="1:12" ht="12.75">
      <c r="A344" t="s">
        <v>320</v>
      </c>
      <c r="B344" t="s">
        <v>321</v>
      </c>
      <c r="E344" t="s">
        <v>322</v>
      </c>
      <c r="I344" t="s">
        <v>323</v>
      </c>
      <c r="J344" t="s">
        <v>324</v>
      </c>
      <c r="L344" s="3"/>
    </row>
    <row r="345" spans="1:10" ht="12.75">
      <c r="A345" t="s">
        <v>320</v>
      </c>
      <c r="B345" t="s">
        <v>325</v>
      </c>
      <c r="E345" t="s">
        <v>326</v>
      </c>
      <c r="I345" t="s">
        <v>327</v>
      </c>
      <c r="J345" t="s">
        <v>328</v>
      </c>
    </row>
    <row r="346" spans="1:10" ht="12.75">
      <c r="A346" t="s">
        <v>320</v>
      </c>
      <c r="B346" t="s">
        <v>329</v>
      </c>
      <c r="E346" t="s">
        <v>330</v>
      </c>
      <c r="I346" t="s">
        <v>331</v>
      </c>
      <c r="J346" t="s">
        <v>332</v>
      </c>
    </row>
    <row r="347" spans="1:10" ht="12.75">
      <c r="A347" t="s">
        <v>320</v>
      </c>
      <c r="B347" t="s">
        <v>333</v>
      </c>
      <c r="E347" t="s">
        <v>334</v>
      </c>
      <c r="I347" t="s">
        <v>335</v>
      </c>
      <c r="J347" t="s">
        <v>336</v>
      </c>
    </row>
    <row r="349" spans="5:10" ht="12.75">
      <c r="E349" t="s">
        <v>337</v>
      </c>
      <c r="I349" t="s">
        <v>338</v>
      </c>
      <c r="J349" t="s">
        <v>339</v>
      </c>
    </row>
    <row r="350" spans="5:10" ht="12.75">
      <c r="E350" t="s">
        <v>340</v>
      </c>
      <c r="I350" t="s">
        <v>341</v>
      </c>
      <c r="J350" t="s">
        <v>342</v>
      </c>
    </row>
    <row r="351" spans="5:10" ht="12.75">
      <c r="E351" t="s">
        <v>343</v>
      </c>
      <c r="I351" t="s">
        <v>344</v>
      </c>
      <c r="J351" t="s">
        <v>345</v>
      </c>
    </row>
    <row r="352" spans="5:10" ht="12.75">
      <c r="E352" t="s">
        <v>346</v>
      </c>
      <c r="I352" t="s">
        <v>347</v>
      </c>
      <c r="J352" t="s">
        <v>348</v>
      </c>
    </row>
    <row r="353" spans="5:12" ht="12.75">
      <c r="E353" s="127" t="s">
        <v>349</v>
      </c>
      <c r="F353" s="127"/>
      <c r="G353" s="127"/>
      <c r="H353" s="127"/>
      <c r="I353" s="127" t="s">
        <v>144</v>
      </c>
      <c r="J353" s="127" t="s">
        <v>350</v>
      </c>
      <c r="K353" s="127"/>
      <c r="L353" s="127"/>
    </row>
    <row r="354" spans="5:10" ht="12.75">
      <c r="E354" t="s">
        <v>351</v>
      </c>
      <c r="I354" t="s">
        <v>352</v>
      </c>
      <c r="J354" t="s">
        <v>353</v>
      </c>
    </row>
    <row r="355" spans="5:10" ht="12.75">
      <c r="E355" t="s">
        <v>354</v>
      </c>
      <c r="I355" t="s">
        <v>355</v>
      </c>
      <c r="J355" t="s">
        <v>356</v>
      </c>
    </row>
    <row r="356" spans="5:10" ht="12.75">
      <c r="E356" t="s">
        <v>357</v>
      </c>
      <c r="I356" t="s">
        <v>358</v>
      </c>
      <c r="J356" t="s">
        <v>359</v>
      </c>
    </row>
    <row r="357" spans="5:10" ht="12.75">
      <c r="E357" t="s">
        <v>360</v>
      </c>
      <c r="I357" t="s">
        <v>361</v>
      </c>
      <c r="J357" t="s">
        <v>362</v>
      </c>
    </row>
    <row r="358" spans="5:10" ht="12.75">
      <c r="E358" t="s">
        <v>363</v>
      </c>
      <c r="I358" t="s">
        <v>364</v>
      </c>
      <c r="J358" t="s">
        <v>365</v>
      </c>
    </row>
    <row r="359" spans="5:10" ht="12.75">
      <c r="E359" t="s">
        <v>366</v>
      </c>
      <c r="I359" t="s">
        <v>367</v>
      </c>
      <c r="J359" t="s">
        <v>365</v>
      </c>
    </row>
    <row r="360" spans="5:10" ht="12.75">
      <c r="E360" t="s">
        <v>368</v>
      </c>
      <c r="I360" t="s">
        <v>369</v>
      </c>
      <c r="J360" t="s">
        <v>370</v>
      </c>
    </row>
    <row r="361" spans="5:12" ht="12.75">
      <c r="E361" t="s">
        <v>371</v>
      </c>
      <c r="I361" s="3"/>
      <c r="J361" s="3"/>
      <c r="K361" s="3"/>
      <c r="L361" s="3"/>
    </row>
    <row r="363" ht="12.75">
      <c r="E363" t="s">
        <v>372</v>
      </c>
    </row>
    <row r="364" ht="12.75">
      <c r="E364" t="s">
        <v>373</v>
      </c>
    </row>
    <row r="365" ht="12.75">
      <c r="E365" t="s">
        <v>374</v>
      </c>
    </row>
    <row r="366" ht="12.75">
      <c r="E366" t="s">
        <v>375</v>
      </c>
    </row>
    <row r="367" ht="12.75">
      <c r="E367" t="s">
        <v>376</v>
      </c>
    </row>
    <row r="368" ht="12.75">
      <c r="E368" t="s">
        <v>377</v>
      </c>
    </row>
  </sheetData>
  <conditionalFormatting sqref="D8">
    <cfRule type="cellIs" priority="1" dxfId="0" operator="equal" stopIfTrue="1">
      <formula>1</formula>
    </cfRule>
  </conditionalFormatting>
  <dataValidations count="1">
    <dataValidation type="custom" allowBlank="1" showInputMessage="1" showErrorMessage="1" sqref="E25:U25 H12:I12">
      <formula1>"&gt;1"</formula1>
    </dataValidation>
  </dataValidation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8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27.00390625" style="0" customWidth="1"/>
    <col min="2" max="2" width="13.7109375" style="0" customWidth="1"/>
    <col min="4" max="4" width="16.7109375" style="0" customWidth="1"/>
    <col min="5" max="5" width="19.8515625" style="0" customWidth="1"/>
    <col min="6" max="6" width="4.00390625" style="0" customWidth="1"/>
    <col min="7" max="7" width="19.00390625" style="0" customWidth="1"/>
    <col min="8" max="8" width="6.140625" style="0" customWidth="1"/>
    <col min="9" max="9" width="8.7109375" style="0" customWidth="1"/>
    <col min="10" max="10" width="16.8515625" style="0" customWidth="1"/>
    <col min="11" max="11" width="15.421875" style="0" customWidth="1"/>
    <col min="12" max="12" width="11.57421875" style="0" customWidth="1"/>
    <col min="13" max="13" width="9.421875" style="0" customWidth="1"/>
    <col min="19" max="19" width="3.7109375" style="0" customWidth="1"/>
    <col min="20" max="20" width="8.57421875" style="0" customWidth="1"/>
    <col min="21" max="21" width="10.140625" style="0" customWidth="1"/>
  </cols>
  <sheetData>
    <row r="1" ht="12.75">
      <c r="A1" s="1"/>
    </row>
    <row r="2" spans="1:5" ht="18">
      <c r="A2" s="1"/>
      <c r="E2" s="157" t="s">
        <v>378</v>
      </c>
    </row>
    <row r="3" ht="13.5" thickBot="1">
      <c r="A3" s="3"/>
    </row>
    <row r="4" spans="1:9" ht="16.5" thickBot="1">
      <c r="A4" s="158" t="s">
        <v>379</v>
      </c>
      <c r="B4" s="159"/>
      <c r="C4" s="159"/>
      <c r="D4" s="159"/>
      <c r="E4" s="159"/>
      <c r="F4" s="159"/>
      <c r="G4" s="159"/>
      <c r="H4" s="159"/>
      <c r="I4" s="160"/>
    </row>
    <row r="5" spans="1:9" s="142" customFormat="1" ht="15.75">
      <c r="A5" s="123" t="s">
        <v>219</v>
      </c>
      <c r="B5" s="161"/>
      <c r="C5" s="37" t="s">
        <v>220</v>
      </c>
      <c r="D5" s="161"/>
      <c r="E5" s="162"/>
      <c r="F5" s="161"/>
      <c r="G5" s="161"/>
      <c r="H5" s="161"/>
      <c r="I5" s="163"/>
    </row>
    <row r="6" spans="1:9" ht="12.75">
      <c r="A6" s="125"/>
      <c r="B6" s="12"/>
      <c r="C6" s="12"/>
      <c r="D6" s="12"/>
      <c r="E6" s="12"/>
      <c r="F6" s="12"/>
      <c r="G6" s="12"/>
      <c r="H6" s="12"/>
      <c r="I6" s="117"/>
    </row>
    <row r="7" spans="1:9" ht="12.75">
      <c r="A7" s="125"/>
      <c r="B7" s="12"/>
      <c r="C7" s="12"/>
      <c r="D7" s="12"/>
      <c r="E7" s="12"/>
      <c r="F7" s="12"/>
      <c r="G7" s="12"/>
      <c r="H7" s="12"/>
      <c r="I7" s="117"/>
    </row>
    <row r="8" spans="1:9" ht="12.75">
      <c r="A8" s="125" t="s">
        <v>8</v>
      </c>
      <c r="B8" s="12" t="s">
        <v>380</v>
      </c>
      <c r="C8" s="12"/>
      <c r="D8" s="164">
        <v>0</v>
      </c>
      <c r="E8" s="12" t="str">
        <f>IF(D8=1,"_WDT_ON","_WDT_OFF")</f>
        <v>_WDT_OFF</v>
      </c>
      <c r="F8" s="12" t="str">
        <f>IF(D8=1,"Watchdog en service","Watchdog hors service")</f>
        <v>Watchdog hors service</v>
      </c>
      <c r="G8" s="12"/>
      <c r="H8" s="12" t="str">
        <f>IF($D$8=1,"3FFF","3FFB")</f>
        <v>3FFB</v>
      </c>
      <c r="I8" s="117">
        <f>_XLL.HEXDEC(H8)</f>
        <v>16379</v>
      </c>
    </row>
    <row r="9" spans="1:9" ht="12.75">
      <c r="A9" s="125" t="s">
        <v>7</v>
      </c>
      <c r="B9" s="12" t="s">
        <v>381</v>
      </c>
      <c r="C9" s="12"/>
      <c r="D9" s="165">
        <v>0</v>
      </c>
      <c r="E9" s="12" t="str">
        <f>IF(D9=1,"_PWRTE_ON","_PWRTE_OFF")</f>
        <v>_PWRTE_OFF</v>
      </c>
      <c r="F9" s="12" t="str">
        <f>IF(D9=0,"Demarrage rapide","Demarrage temporisé 72µs")</f>
        <v>Demarrage rapide</v>
      </c>
      <c r="G9" s="12"/>
      <c r="H9" s="12" t="str">
        <f>IF($D$9=0,"3FFF","3FF7")</f>
        <v>3FFF</v>
      </c>
      <c r="I9" s="117">
        <f>_XLL.HEXDEC(H9)</f>
        <v>16383</v>
      </c>
    </row>
    <row r="10" spans="1:9" ht="13.5" thickBot="1">
      <c r="A10" s="125" t="s">
        <v>382</v>
      </c>
      <c r="B10" s="12" t="s">
        <v>383</v>
      </c>
      <c r="C10" s="12"/>
      <c r="D10" s="166">
        <v>0</v>
      </c>
      <c r="E10" s="12" t="s">
        <v>383</v>
      </c>
      <c r="F10" s="12" t="str">
        <f>IF(D10=0,"RA5 utilisé en  en E/S ","RA5 utilisé en  Reset ")</f>
        <v>RA5 utilisé en  en E/S </v>
      </c>
      <c r="G10" s="12"/>
      <c r="H10" s="12" t="str">
        <f>IF($D$10=0,"3FDF","3FFF")</f>
        <v>3FDF</v>
      </c>
      <c r="I10" s="117">
        <f>_XLL.HEXDEC(H10)</f>
        <v>16351</v>
      </c>
    </row>
    <row r="11" spans="1:9" ht="12.75">
      <c r="A11" s="125" t="s">
        <v>384</v>
      </c>
      <c r="B11" s="101" t="s">
        <v>385</v>
      </c>
      <c r="C11" s="12"/>
      <c r="D11" s="167">
        <v>0</v>
      </c>
      <c r="E11" s="12" t="s">
        <v>385</v>
      </c>
      <c r="F11" s="12" t="str">
        <f>IF(D11=1,"Active ","inactive ")</f>
        <v>inactive </v>
      </c>
      <c r="G11" s="12"/>
      <c r="H11" s="12" t="str">
        <f>IF($D$11=0,"3FBF","3FFF")</f>
        <v>3FBF</v>
      </c>
      <c r="I11" s="117">
        <f>_XLL.HEXDEC(H11)</f>
        <v>16319</v>
      </c>
    </row>
    <row r="12" spans="1:9" ht="12.75">
      <c r="A12" s="125" t="s">
        <v>386</v>
      </c>
      <c r="B12" s="101" t="s">
        <v>387</v>
      </c>
      <c r="C12" s="12"/>
      <c r="D12" s="168">
        <v>0</v>
      </c>
      <c r="E12" s="12" t="s">
        <v>388</v>
      </c>
      <c r="F12" s="12" t="str">
        <f>IF(D12=1,"bas voltage 5V ","Haut voltage 12V  ")</f>
        <v>Haut voltage 12V  </v>
      </c>
      <c r="G12" s="12"/>
      <c r="H12" s="12" t="str">
        <f>IF($D$12=0,"3F7F","3FFF")</f>
        <v>3F7F</v>
      </c>
      <c r="I12" s="117">
        <f>_XLL.HEXDEC(H12)</f>
        <v>16255</v>
      </c>
    </row>
    <row r="13" spans="1:9" ht="13.5" thickBot="1">
      <c r="A13" s="125" t="s">
        <v>389</v>
      </c>
      <c r="B13" s="101" t="s">
        <v>390</v>
      </c>
      <c r="C13" s="12"/>
      <c r="D13" s="169">
        <v>0</v>
      </c>
      <c r="E13" s="12" t="s">
        <v>391</v>
      </c>
      <c r="F13" s="12" t="str">
        <f>IF(D13=0,"libre ","protégée ")</f>
        <v>libre </v>
      </c>
      <c r="G13" s="12"/>
      <c r="H13" s="12" t="str">
        <f>IF($D$13=1,"3EFF","3FFF")</f>
        <v>3FFF</v>
      </c>
      <c r="I13" s="117">
        <f>_XLL.HEXDEC(H13)</f>
        <v>16383</v>
      </c>
    </row>
    <row r="14" spans="1:9" ht="12.75">
      <c r="A14" s="125" t="s">
        <v>3</v>
      </c>
      <c r="B14" s="101" t="s">
        <v>392</v>
      </c>
      <c r="C14" s="12"/>
      <c r="D14" s="170">
        <v>0</v>
      </c>
      <c r="E14" s="12" t="str">
        <f>IF(D14=1,"_CP_ON","_CP_OFF")</f>
        <v>_CP_OFF</v>
      </c>
      <c r="F14" s="12" t="str">
        <f>IF(D14=1,"Protection totale","Pas de protection")</f>
        <v>Pas de protection</v>
      </c>
      <c r="G14" s="12"/>
      <c r="H14" s="12" t="str">
        <f>IF($D$14=1,"000F","3FFF")</f>
        <v>3FFF</v>
      </c>
      <c r="I14" s="117">
        <f>_XLL.HEXDEC(H14)</f>
        <v>16383</v>
      </c>
    </row>
    <row r="15" spans="1:9" ht="12.75">
      <c r="A15" s="125" t="s">
        <v>393</v>
      </c>
      <c r="B15" s="101" t="s">
        <v>394</v>
      </c>
      <c r="C15" s="12"/>
      <c r="D15" s="171">
        <v>4</v>
      </c>
      <c r="E15" s="12" t="str">
        <f>IF(D15=F20,G20,IF(D15=F21,G21,IF(D15=F22,G2é,IF(D15=F23,G23,IF(D15=F24,G24,IF(D15=F25,G25,IF(D15=F26,G26,IF(D15=F27,G27))))))))</f>
        <v>INTERNE  I/O (1)</v>
      </c>
      <c r="F15" s="12" t="s">
        <v>225</v>
      </c>
      <c r="G15" s="12"/>
      <c r="H15" s="12" t="str">
        <f>IF($D$15=0,H20,IF($D$15=1,H21,IF($D$15=2,H22,IF($D$15=3,H23,IF($D$15=4,H24,IF($D15=5,H25,IF($D$15=6,H26,IF($D$15=7,H27,E18))))))))</f>
        <v>3FFC</v>
      </c>
      <c r="I15" s="117">
        <f>_XLL.HEXDEC(H15)</f>
        <v>16380</v>
      </c>
    </row>
    <row r="16" spans="1:9" ht="12.75">
      <c r="A16" s="125"/>
      <c r="B16" s="12"/>
      <c r="C16" s="12"/>
      <c r="D16" s="12"/>
      <c r="E16" s="12"/>
      <c r="F16" s="12"/>
      <c r="G16" s="12"/>
      <c r="H16" s="12"/>
      <c r="I16" s="117"/>
    </row>
    <row r="17" spans="1:9" ht="15.75">
      <c r="A17" s="123" t="s">
        <v>395</v>
      </c>
      <c r="B17" s="12"/>
      <c r="C17" s="12"/>
      <c r="D17" s="12"/>
      <c r="E17" s="12"/>
      <c r="F17" s="12"/>
      <c r="G17" s="12"/>
      <c r="H17" s="26"/>
      <c r="I17" s="172"/>
    </row>
    <row r="18" spans="1:9" ht="15.75">
      <c r="A18" s="125"/>
      <c r="B18" s="12"/>
      <c r="C18" s="12"/>
      <c r="D18" s="12"/>
      <c r="E18" s="132">
        <v>15889</v>
      </c>
      <c r="F18" s="12"/>
      <c r="G18" s="12"/>
      <c r="H18" s="173" t="s">
        <v>396</v>
      </c>
      <c r="I18" s="172">
        <v>16153</v>
      </c>
    </row>
    <row r="19" spans="1:9" ht="18" customHeight="1">
      <c r="A19" s="125"/>
      <c r="B19" s="12"/>
      <c r="C19" s="12"/>
      <c r="D19" s="12"/>
      <c r="E19" s="12"/>
      <c r="F19" s="12"/>
      <c r="G19" s="12"/>
      <c r="H19" s="133" t="str">
        <f>_XLL.DECHEX(I18)</f>
        <v>3F19</v>
      </c>
      <c r="I19" s="172"/>
    </row>
    <row r="20" spans="1:10" ht="15.75">
      <c r="A20" s="174" t="s">
        <v>397</v>
      </c>
      <c r="B20" s="32"/>
      <c r="C20" s="37" t="str">
        <f>"__CONFIG  "&amp;$H$19</f>
        <v>__CONFIG  3F19</v>
      </c>
      <c r="D20" s="12"/>
      <c r="E20" s="12"/>
      <c r="F20" s="134">
        <v>0</v>
      </c>
      <c r="G20" s="12" t="s">
        <v>228</v>
      </c>
      <c r="H20" s="12" t="s">
        <v>398</v>
      </c>
      <c r="I20" s="117">
        <f>_XLL.HEXDEC(H20)</f>
        <v>16364</v>
      </c>
      <c r="J20" t="s">
        <v>399</v>
      </c>
    </row>
    <row r="21" spans="1:11" ht="12.75">
      <c r="A21" s="125"/>
      <c r="B21" s="12"/>
      <c r="C21" s="12"/>
      <c r="D21" s="12"/>
      <c r="E21" s="12"/>
      <c r="F21" s="134">
        <v>1</v>
      </c>
      <c r="G21" s="12" t="s">
        <v>22</v>
      </c>
      <c r="H21" s="12" t="s">
        <v>400</v>
      </c>
      <c r="I21" s="117">
        <f>_XLL.HEXDEC(H21)</f>
        <v>16365</v>
      </c>
      <c r="J21" t="s">
        <v>401</v>
      </c>
      <c r="K21" s="175"/>
    </row>
    <row r="22" spans="1:10" ht="15.75">
      <c r="A22" s="174" t="s">
        <v>402</v>
      </c>
      <c r="B22" s="12"/>
      <c r="C22" s="12" t="s">
        <v>403</v>
      </c>
      <c r="D22" s="12"/>
      <c r="E22" s="12"/>
      <c r="F22" s="134">
        <v>2</v>
      </c>
      <c r="G22" s="101" t="s">
        <v>404</v>
      </c>
      <c r="H22" s="12" t="s">
        <v>405</v>
      </c>
      <c r="I22" s="117">
        <f>_XLL.HEXDEC(H22)</f>
        <v>16366</v>
      </c>
      <c r="J22" t="s">
        <v>406</v>
      </c>
    </row>
    <row r="23" spans="1:10" ht="12.75">
      <c r="A23" s="125"/>
      <c r="B23" s="12"/>
      <c r="C23" s="12" t="s">
        <v>407</v>
      </c>
      <c r="D23" s="12"/>
      <c r="E23" s="12"/>
      <c r="F23" s="134">
        <v>3</v>
      </c>
      <c r="G23" s="101" t="s">
        <v>408</v>
      </c>
      <c r="H23" s="101" t="s">
        <v>409</v>
      </c>
      <c r="I23" s="117">
        <f>_XLL.HEXDEC(H23)</f>
        <v>16367</v>
      </c>
      <c r="J23" t="s">
        <v>410</v>
      </c>
    </row>
    <row r="24" spans="1:10" ht="12.75">
      <c r="A24" s="125"/>
      <c r="B24" s="12"/>
      <c r="C24" s="12" t="str">
        <f>"__CONFIG  '"&amp;$H$19&amp;"'"</f>
        <v>__CONFIG  '3F19'</v>
      </c>
      <c r="D24" s="12"/>
      <c r="E24" s="12"/>
      <c r="F24" s="134">
        <v>4</v>
      </c>
      <c r="G24" s="12" t="s">
        <v>411</v>
      </c>
      <c r="H24" s="101" t="s">
        <v>229</v>
      </c>
      <c r="I24" s="117">
        <f>_XLL.HEXDEC(H24)</f>
        <v>16380</v>
      </c>
      <c r="J24" t="s">
        <v>412</v>
      </c>
    </row>
    <row r="25" spans="1:10" ht="12.75">
      <c r="A25" s="125"/>
      <c r="B25" s="12"/>
      <c r="C25" s="12"/>
      <c r="D25" s="12"/>
      <c r="E25" s="12"/>
      <c r="F25" s="134">
        <v>5</v>
      </c>
      <c r="G25" s="12" t="s">
        <v>413</v>
      </c>
      <c r="H25" s="101" t="s">
        <v>231</v>
      </c>
      <c r="I25" s="117">
        <f>_XLL.HEXDEC(H25)</f>
        <v>16381</v>
      </c>
      <c r="J25" t="s">
        <v>414</v>
      </c>
    </row>
    <row r="26" spans="1:10" ht="12.75">
      <c r="A26" s="125"/>
      <c r="B26" s="12"/>
      <c r="C26" s="12"/>
      <c r="F26" s="134">
        <v>6</v>
      </c>
      <c r="G26" s="101" t="s">
        <v>415</v>
      </c>
      <c r="H26" s="101" t="s">
        <v>232</v>
      </c>
      <c r="I26" s="117">
        <f>_XLL.HEXDEC(H26)</f>
        <v>16382</v>
      </c>
      <c r="J26" t="s">
        <v>416</v>
      </c>
    </row>
    <row r="27" spans="1:10" ht="12.75">
      <c r="A27" s="125"/>
      <c r="B27" s="12"/>
      <c r="C27" s="12"/>
      <c r="F27" s="134">
        <v>7</v>
      </c>
      <c r="G27" s="12" t="s">
        <v>417</v>
      </c>
      <c r="H27" s="101" t="s">
        <v>235</v>
      </c>
      <c r="I27" s="117">
        <f>_XLL.HEXDEC(H27)</f>
        <v>16383</v>
      </c>
      <c r="J27" t="s">
        <v>418</v>
      </c>
    </row>
    <row r="28" spans="1:11" ht="13.5" thickBot="1">
      <c r="A28" s="137"/>
      <c r="B28" s="138"/>
      <c r="C28" s="138"/>
      <c r="D28" s="138"/>
      <c r="E28" s="138"/>
      <c r="F28" s="138"/>
      <c r="G28" s="138"/>
      <c r="H28" s="138"/>
      <c r="I28" s="139"/>
      <c r="K28" s="4" t="s">
        <v>221</v>
      </c>
    </row>
    <row r="29" spans="14:18" ht="12.75" hidden="1">
      <c r="N29" s="135" t="s">
        <v>419</v>
      </c>
      <c r="Q29" s="135" t="s">
        <v>419</v>
      </c>
      <c r="R29" s="135" t="s">
        <v>419</v>
      </c>
    </row>
    <row r="30" spans="5:18" ht="12.75">
      <c r="E30" s="41" t="s">
        <v>420</v>
      </c>
      <c r="F30" s="10"/>
      <c r="G30" s="10"/>
      <c r="H30" s="11"/>
      <c r="I30" s="176" t="s">
        <v>421</v>
      </c>
      <c r="J30" s="135" t="s">
        <v>422</v>
      </c>
      <c r="K30" s="135" t="s">
        <v>423</v>
      </c>
      <c r="L30" s="135" t="s">
        <v>424</v>
      </c>
      <c r="M30" s="41" t="s">
        <v>425</v>
      </c>
      <c r="N30" s="135"/>
      <c r="O30" s="177" t="s">
        <v>242</v>
      </c>
      <c r="P30" s="178" t="s">
        <v>243</v>
      </c>
      <c r="Q30" s="135"/>
      <c r="R30" s="135"/>
    </row>
    <row r="31" spans="1:20" ht="19.5" customHeight="1">
      <c r="A31" s="179" t="s">
        <v>238</v>
      </c>
      <c r="E31" s="15" t="s">
        <v>426</v>
      </c>
      <c r="F31" s="12"/>
      <c r="G31" s="12"/>
      <c r="H31" s="14"/>
      <c r="I31" s="180" t="s">
        <v>427</v>
      </c>
      <c r="J31" s="136" t="s">
        <v>391</v>
      </c>
      <c r="K31" s="136" t="s">
        <v>428</v>
      </c>
      <c r="L31" s="136" t="s">
        <v>429</v>
      </c>
      <c r="M31" s="15" t="s">
        <v>430</v>
      </c>
      <c r="N31" s="136"/>
      <c r="O31" s="14" t="s">
        <v>246</v>
      </c>
      <c r="P31" s="15" t="s">
        <v>247</v>
      </c>
      <c r="Q31" s="136"/>
      <c r="R31" s="136"/>
      <c r="T31" s="142"/>
    </row>
    <row r="32" spans="1:18" ht="12.75">
      <c r="A32" s="181" t="s">
        <v>431</v>
      </c>
      <c r="E32" s="15" t="s">
        <v>432</v>
      </c>
      <c r="F32" s="12" t="s">
        <v>433</v>
      </c>
      <c r="G32" s="12" t="s">
        <v>432</v>
      </c>
      <c r="H32" s="14" t="s">
        <v>433</v>
      </c>
      <c r="I32" s="180"/>
      <c r="J32" s="136" t="s">
        <v>390</v>
      </c>
      <c r="K32" s="136" t="s">
        <v>387</v>
      </c>
      <c r="L32" s="136" t="s">
        <v>385</v>
      </c>
      <c r="M32" s="15" t="s">
        <v>434</v>
      </c>
      <c r="N32" s="136"/>
      <c r="O32" s="14" t="s">
        <v>250</v>
      </c>
      <c r="P32" s="182" t="s">
        <v>251</v>
      </c>
      <c r="Q32" s="136"/>
      <c r="R32" s="136"/>
    </row>
    <row r="33" spans="1:20" ht="15.75" thickBot="1">
      <c r="A33" s="183" t="s">
        <v>435</v>
      </c>
      <c r="E33" s="15" t="s">
        <v>253</v>
      </c>
      <c r="F33" s="12" t="s">
        <v>254</v>
      </c>
      <c r="G33" s="12" t="s">
        <v>255</v>
      </c>
      <c r="H33" s="14" t="s">
        <v>256</v>
      </c>
      <c r="I33" s="184" t="s">
        <v>257</v>
      </c>
      <c r="J33" s="136" t="s">
        <v>258</v>
      </c>
      <c r="K33" s="136" t="s">
        <v>60</v>
      </c>
      <c r="L33" s="136" t="s">
        <v>34</v>
      </c>
      <c r="M33" s="15" t="s">
        <v>37</v>
      </c>
      <c r="N33" s="136" t="s">
        <v>40</v>
      </c>
      <c r="O33" s="14" t="s">
        <v>44</v>
      </c>
      <c r="P33" s="15" t="s">
        <v>46</v>
      </c>
      <c r="Q33" s="136" t="s">
        <v>49</v>
      </c>
      <c r="R33" s="136" t="s">
        <v>53</v>
      </c>
      <c r="T33" s="142"/>
    </row>
    <row r="34" spans="1:20" ht="16.5" hidden="1" thickBot="1">
      <c r="A34" s="144"/>
      <c r="C34" s="2">
        <f>INT(R34/2)</f>
        <v>0</v>
      </c>
      <c r="E34" s="146">
        <f>INT(T35/2)</f>
        <v>8076</v>
      </c>
      <c r="F34" s="37">
        <f aca="true" t="shared" si="0" ref="F34:R34">INT(E34/2)</f>
        <v>4038</v>
      </c>
      <c r="G34" s="37">
        <f t="shared" si="0"/>
        <v>2019</v>
      </c>
      <c r="H34" s="147">
        <f t="shared" si="0"/>
        <v>1009</v>
      </c>
      <c r="I34" s="185">
        <f t="shared" si="0"/>
        <v>504</v>
      </c>
      <c r="J34" s="145">
        <f t="shared" si="0"/>
        <v>252</v>
      </c>
      <c r="K34" s="145">
        <f t="shared" si="0"/>
        <v>126</v>
      </c>
      <c r="L34" s="145">
        <f t="shared" si="0"/>
        <v>63</v>
      </c>
      <c r="M34" s="15">
        <f t="shared" si="0"/>
        <v>31</v>
      </c>
      <c r="N34" s="145">
        <f t="shared" si="0"/>
        <v>15</v>
      </c>
      <c r="O34" s="147">
        <f t="shared" si="0"/>
        <v>7</v>
      </c>
      <c r="P34" s="146">
        <f t="shared" si="0"/>
        <v>3</v>
      </c>
      <c r="Q34" s="145">
        <f t="shared" si="0"/>
        <v>1</v>
      </c>
      <c r="R34" s="145">
        <f t="shared" si="0"/>
        <v>0</v>
      </c>
      <c r="T34" s="142"/>
    </row>
    <row r="35" spans="1:21" ht="16.5" thickBot="1">
      <c r="A35" s="148" t="s">
        <v>436</v>
      </c>
      <c r="C35" s="110"/>
      <c r="D35" s="110"/>
      <c r="E35" s="186">
        <f>Q34-INT(Q34/2)*2</f>
        <v>1</v>
      </c>
      <c r="F35" s="187">
        <f>P34-INT(P34/2)*2</f>
        <v>1</v>
      </c>
      <c r="G35" s="187">
        <f>O34-INT(O34/2)*2</f>
        <v>1</v>
      </c>
      <c r="H35" s="188">
        <f>N34-INT(N34/2)*2</f>
        <v>1</v>
      </c>
      <c r="I35" s="189">
        <f>M34-INT(M34/2)*2</f>
        <v>1</v>
      </c>
      <c r="J35" s="190">
        <f>L34-INT(L34/2)*2</f>
        <v>1</v>
      </c>
      <c r="K35" s="191">
        <f>K34-INT(K34/2)*2</f>
        <v>0</v>
      </c>
      <c r="L35" s="192">
        <f>J34-INT(J34/2)*2</f>
        <v>0</v>
      </c>
      <c r="M35" s="193">
        <f>I34-INT(I34/2)*2</f>
        <v>0</v>
      </c>
      <c r="N35" s="194">
        <f>H34-INT(H34/2)*2</f>
        <v>1</v>
      </c>
      <c r="O35" s="195">
        <f>G34-INT(G34/2)*2</f>
        <v>1</v>
      </c>
      <c r="P35" s="196">
        <f>F34-INT(F34/2)*2</f>
        <v>0</v>
      </c>
      <c r="Q35" s="171">
        <f>E34-INT(E34/2)*2</f>
        <v>0</v>
      </c>
      <c r="R35" s="197">
        <f>T35-INT(T35/2)*2</f>
        <v>0</v>
      </c>
      <c r="T35" s="150">
        <f>_XLL.HEXDEC(A35)</f>
        <v>16152</v>
      </c>
      <c r="U35" s="151" t="str">
        <f>_XLL.DECHEX(T35)</f>
        <v>3F18</v>
      </c>
    </row>
    <row r="36" ht="15.75">
      <c r="A36" s="152">
        <f>E35*10000000000000+F35*1000000000000+G35*100000000000+H35*10000000000+I35*1000000000+J35*100000000+K35*10000000+L35*1000000+M35*100000+N35*10000+O35*1000+P35*100+Q35*10+R35</f>
        <v>11111100011000</v>
      </c>
    </row>
    <row r="37" ht="15.75">
      <c r="A37" s="198"/>
    </row>
    <row r="38" ht="15.75">
      <c r="A38" s="198">
        <v>11111100011000</v>
      </c>
    </row>
    <row r="39" ht="15.75">
      <c r="A39" s="2"/>
    </row>
    <row r="40" ht="15.75">
      <c r="A40" s="2"/>
    </row>
    <row r="41" ht="15.75">
      <c r="A41" s="2"/>
    </row>
    <row r="42" spans="1:10" ht="12.75">
      <c r="A42" s="10"/>
      <c r="B42" s="10"/>
      <c r="C42" s="10"/>
      <c r="D42" s="10"/>
      <c r="E42" s="10"/>
      <c r="F42" s="10"/>
      <c r="G42" s="10"/>
      <c r="H42" s="10"/>
      <c r="I42" s="10"/>
      <c r="J42" s="11"/>
    </row>
    <row r="43" spans="1:10" ht="12.75">
      <c r="A43" s="12"/>
      <c r="B43" s="13" t="s">
        <v>2</v>
      </c>
      <c r="C43" s="13"/>
      <c r="D43" s="12"/>
      <c r="E43" s="12"/>
      <c r="F43" s="12"/>
      <c r="G43" s="12"/>
      <c r="H43" s="12"/>
      <c r="I43" s="12"/>
      <c r="J43" s="14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4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4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4"/>
    </row>
    <row r="47" spans="1:10" ht="12.75">
      <c r="A47" s="13" t="s">
        <v>29</v>
      </c>
      <c r="B47" s="12"/>
      <c r="C47" s="12"/>
      <c r="D47" s="12"/>
      <c r="E47" s="12"/>
      <c r="F47" s="12"/>
      <c r="G47" s="12"/>
      <c r="H47" s="12"/>
      <c r="I47" s="12"/>
      <c r="J47" s="14"/>
    </row>
    <row r="48" spans="1:10" ht="13.5" thickBot="1">
      <c r="A48" s="12"/>
      <c r="B48" s="12"/>
      <c r="C48" s="12"/>
      <c r="D48" s="12"/>
      <c r="E48" s="12"/>
      <c r="F48" s="12"/>
      <c r="G48" s="12"/>
      <c r="H48" s="12"/>
      <c r="I48" s="12"/>
      <c r="J48" s="14"/>
    </row>
    <row r="49" spans="1:10" ht="15.75">
      <c r="A49" s="199" t="s">
        <v>31</v>
      </c>
      <c r="B49" s="12" t="s">
        <v>270</v>
      </c>
      <c r="C49" s="17">
        <v>0</v>
      </c>
      <c r="D49" s="12" t="str">
        <f>IF(C49=0,"Resistance Pull-Up activées","Resistance Pull-Up désactivées")</f>
        <v>Resistance Pull-Up activées</v>
      </c>
      <c r="E49" s="12"/>
      <c r="F49" s="12"/>
      <c r="G49" s="12"/>
      <c r="H49" s="12"/>
      <c r="I49" s="12"/>
      <c r="J49" s="14"/>
    </row>
    <row r="50" spans="1:10" ht="16.5" thickBot="1">
      <c r="A50" s="199" t="s">
        <v>34</v>
      </c>
      <c r="B50" s="12" t="s">
        <v>35</v>
      </c>
      <c r="C50" s="18">
        <v>0</v>
      </c>
      <c r="D50" s="19" t="str">
        <f>IF(C50=0,"Intérruption sur front Descendant de GP2","Intérruption sur front Montant de GP2")</f>
        <v>Intérruption sur front Descendant de GP2</v>
      </c>
      <c r="E50" s="12"/>
      <c r="F50" s="12"/>
      <c r="G50" s="12"/>
      <c r="H50" s="12"/>
      <c r="I50" s="12"/>
      <c r="J50" s="14"/>
    </row>
    <row r="51" spans="1:10" ht="15.75">
      <c r="A51" s="199" t="s">
        <v>37</v>
      </c>
      <c r="B51" s="12" t="s">
        <v>38</v>
      </c>
      <c r="C51" s="22">
        <v>0</v>
      </c>
      <c r="D51" s="19" t="str">
        <f>IF(C51=0,"Timer 0 synchronisé par Horloge-interne","Timer 0 synchronisé par Horloge externe GP2")</f>
        <v>Timer 0 synchronisé par Horloge-interne</v>
      </c>
      <c r="E51" s="12"/>
      <c r="F51" s="12"/>
      <c r="G51" s="12"/>
      <c r="H51" s="12"/>
      <c r="I51" s="12"/>
      <c r="J51" s="14"/>
    </row>
    <row r="52" spans="1:10" ht="16.5" thickBot="1">
      <c r="A52" s="199" t="s">
        <v>40</v>
      </c>
      <c r="B52" s="12" t="s">
        <v>41</v>
      </c>
      <c r="C52" s="23">
        <v>0</v>
      </c>
      <c r="D52" s="19" t="str">
        <f>IF(C52=0,"Timer 0 synchronisé sur Front-Montant GP2","Timer 0 synchronisé sur Front-Descendant GP2")</f>
        <v>Timer 0 synchronisé sur Front-Montant GP2</v>
      </c>
      <c r="E52" s="12"/>
      <c r="F52" s="12"/>
      <c r="G52" s="12"/>
      <c r="H52" s="12"/>
      <c r="I52" s="24" t="s">
        <v>42</v>
      </c>
      <c r="J52" s="14"/>
    </row>
    <row r="53" spans="1:10" ht="16.5" thickBot="1">
      <c r="A53" s="199" t="s">
        <v>44</v>
      </c>
      <c r="B53" s="12" t="s">
        <v>45</v>
      </c>
      <c r="C53" s="25">
        <v>0</v>
      </c>
      <c r="D53" s="19" t="str">
        <f>IF(C53=0,"Prédiviseur surTimer 0 ","Prédiviseur sur Watchdog")</f>
        <v>Prédiviseur surTimer 0 </v>
      </c>
      <c r="E53" s="12"/>
      <c r="F53" s="12"/>
      <c r="G53" s="26">
        <f>IF(C53=1,2,1)</f>
        <v>1</v>
      </c>
      <c r="H53" s="12"/>
      <c r="I53" s="12"/>
      <c r="J53" s="14"/>
    </row>
    <row r="54" spans="1:10" ht="15.75">
      <c r="A54" s="199" t="s">
        <v>46</v>
      </c>
      <c r="B54" s="12" t="s">
        <v>47</v>
      </c>
      <c r="C54" s="28">
        <v>0</v>
      </c>
      <c r="D54" s="29" t="s">
        <v>48</v>
      </c>
      <c r="E54" s="30">
        <f>(G53/G56/G55/G54)/2</f>
        <v>0.5</v>
      </c>
      <c r="F54" s="12"/>
      <c r="G54" s="26">
        <f>IF(C54=0,1,16)</f>
        <v>1</v>
      </c>
      <c r="H54" s="12"/>
      <c r="I54" s="12"/>
      <c r="J54" s="14"/>
    </row>
    <row r="55" spans="1:10" ht="15.75">
      <c r="A55" s="199" t="s">
        <v>49</v>
      </c>
      <c r="B55" s="12" t="s">
        <v>50</v>
      </c>
      <c r="C55" s="28">
        <v>0</v>
      </c>
      <c r="D55" s="16" t="s">
        <v>271</v>
      </c>
      <c r="E55" s="31" t="s">
        <v>52</v>
      </c>
      <c r="F55" s="12"/>
      <c r="G55" s="26">
        <f>IF(C55=0,1,4)</f>
        <v>1</v>
      </c>
      <c r="H55" s="12"/>
      <c r="I55" s="32"/>
      <c r="J55" s="14"/>
    </row>
    <row r="56" spans="1:10" ht="16.5" thickBot="1">
      <c r="A56" s="199" t="s">
        <v>53</v>
      </c>
      <c r="B56" s="12" t="s">
        <v>54</v>
      </c>
      <c r="C56" s="33">
        <v>0</v>
      </c>
      <c r="D56" s="16" t="s">
        <v>272</v>
      </c>
      <c r="E56" s="34">
        <f>E54</f>
        <v>0.5</v>
      </c>
      <c r="F56" s="16"/>
      <c r="G56" s="26">
        <f>IF(C56=0,1,2)</f>
        <v>1</v>
      </c>
      <c r="H56" s="12"/>
      <c r="I56" s="12"/>
      <c r="J56" s="14"/>
    </row>
    <row r="57" spans="1:10" ht="15.75">
      <c r="A57" s="12"/>
      <c r="B57" s="12"/>
      <c r="C57" s="35"/>
      <c r="D57" s="12"/>
      <c r="F57" s="36"/>
      <c r="G57" s="12"/>
      <c r="H57" s="12"/>
      <c r="I57" s="12"/>
      <c r="J57" s="14"/>
    </row>
    <row r="58" spans="1:10" ht="15.75">
      <c r="A58" s="13" t="s">
        <v>55</v>
      </c>
      <c r="B58" s="12"/>
      <c r="C58" s="35"/>
      <c r="D58" s="37" t="str">
        <f>"  b'"&amp;C49&amp;C50&amp;C51&amp;C52&amp;C53&amp;C54&amp;C55&amp;C56&amp;"'"</f>
        <v>  b'00000000'</v>
      </c>
      <c r="E58" t="s">
        <v>56</v>
      </c>
      <c r="F58" t="str">
        <f>"  %"&amp;C49&amp;C50&amp;C51&amp;C52&amp;C53&amp;C54&amp;C55&amp;C56</f>
        <v>  %00000000</v>
      </c>
      <c r="G58" s="12"/>
      <c r="H58" s="12"/>
      <c r="I58" s="12"/>
      <c r="J58" s="14"/>
    </row>
    <row r="59" spans="1:10" ht="12.75">
      <c r="A59" s="39"/>
      <c r="B59" s="39"/>
      <c r="C59" s="39"/>
      <c r="D59" s="39"/>
      <c r="E59" s="39"/>
      <c r="F59" s="39"/>
      <c r="G59" s="39"/>
      <c r="H59" s="39"/>
      <c r="I59" s="39"/>
      <c r="J59" s="40"/>
    </row>
    <row r="60" spans="2:9" ht="12.75">
      <c r="B60" s="12"/>
      <c r="C60" s="12"/>
      <c r="D60" s="12"/>
      <c r="E60" s="12"/>
      <c r="F60" s="12"/>
      <c r="G60" s="12"/>
      <c r="H60" s="12"/>
      <c r="I60" s="12"/>
    </row>
    <row r="61" spans="1:9" ht="12.75">
      <c r="A61" t="s">
        <v>403</v>
      </c>
      <c r="B61" s="12"/>
      <c r="C61" s="12"/>
      <c r="D61" s="12"/>
      <c r="E61" s="12"/>
      <c r="F61" s="12"/>
      <c r="G61" s="12"/>
      <c r="H61" s="12"/>
      <c r="I61" s="12"/>
    </row>
    <row r="62" spans="1:9" ht="12.75">
      <c r="A62" t="s">
        <v>407</v>
      </c>
      <c r="B62" s="12"/>
      <c r="C62" s="12"/>
      <c r="D62" s="12"/>
      <c r="E62" s="12"/>
      <c r="F62" s="12"/>
      <c r="G62" s="12"/>
      <c r="H62" s="12"/>
      <c r="I62" s="12"/>
    </row>
    <row r="63" spans="1:9" ht="12.75">
      <c r="A63" t="str">
        <f>"__CONFIG  "&amp;$E$18</f>
        <v>__CONFIG  15889</v>
      </c>
      <c r="B63" s="12"/>
      <c r="C63" s="12"/>
      <c r="D63" s="12"/>
      <c r="E63" s="12"/>
      <c r="F63" s="12"/>
      <c r="G63" s="12"/>
      <c r="H63" s="12"/>
      <c r="I63" s="12"/>
    </row>
    <row r="64" spans="1:9" ht="12.75">
      <c r="A64" s="12"/>
      <c r="B64" s="12"/>
      <c r="C64" s="12"/>
      <c r="D64" s="12"/>
      <c r="E64" s="12"/>
      <c r="F64" s="12"/>
      <c r="G64" s="12"/>
      <c r="H64" s="12"/>
      <c r="I64" s="12"/>
    </row>
    <row r="71" ht="15">
      <c r="C71" s="142" t="s">
        <v>273</v>
      </c>
    </row>
    <row r="73" ht="15">
      <c r="B73" s="155" t="s">
        <v>274</v>
      </c>
    </row>
    <row r="74" spans="2:9" ht="15.75">
      <c r="B74" s="2" t="s">
        <v>275</v>
      </c>
      <c r="E74" s="2" t="s">
        <v>276</v>
      </c>
      <c r="I74" s="2" t="s">
        <v>277</v>
      </c>
    </row>
    <row r="76" spans="1:9" ht="12.75">
      <c r="A76" t="s">
        <v>278</v>
      </c>
      <c r="B76" t="s">
        <v>279</v>
      </c>
      <c r="E76" t="s">
        <v>280</v>
      </c>
      <c r="I76" t="s">
        <v>281</v>
      </c>
    </row>
    <row r="77" spans="1:9" ht="12.75">
      <c r="A77" t="s">
        <v>282</v>
      </c>
      <c r="B77" t="s">
        <v>283</v>
      </c>
      <c r="E77" t="s">
        <v>284</v>
      </c>
      <c r="I77" t="s">
        <v>285</v>
      </c>
    </row>
    <row r="78" spans="1:9" ht="12.75">
      <c r="A78" t="s">
        <v>286</v>
      </c>
      <c r="B78" t="s">
        <v>287</v>
      </c>
      <c r="E78" t="s">
        <v>288</v>
      </c>
      <c r="I78" t="s">
        <v>289</v>
      </c>
    </row>
    <row r="79" spans="1:9" ht="12.75">
      <c r="A79" t="s">
        <v>290</v>
      </c>
      <c r="B79" t="s">
        <v>291</v>
      </c>
      <c r="E79" t="s">
        <v>292</v>
      </c>
      <c r="I79" t="s">
        <v>293</v>
      </c>
    </row>
    <row r="80" spans="1:9" ht="12.75">
      <c r="A80" t="s">
        <v>278</v>
      </c>
      <c r="B80" t="s">
        <v>294</v>
      </c>
      <c r="E80" t="s">
        <v>295</v>
      </c>
      <c r="I80" t="s">
        <v>296</v>
      </c>
    </row>
    <row r="81" spans="1:9" ht="12.75">
      <c r="A81" t="s">
        <v>297</v>
      </c>
      <c r="B81" s="156" t="s">
        <v>298</v>
      </c>
      <c r="E81" t="s">
        <v>299</v>
      </c>
      <c r="I81" s="156" t="s">
        <v>300</v>
      </c>
    </row>
    <row r="82" spans="1:5" ht="12.75">
      <c r="A82" t="s">
        <v>297</v>
      </c>
      <c r="B82" t="s">
        <v>301</v>
      </c>
      <c r="E82" t="s">
        <v>302</v>
      </c>
    </row>
    <row r="85" spans="1:9" ht="12.75">
      <c r="A85" t="s">
        <v>303</v>
      </c>
      <c r="B85" t="s">
        <v>304</v>
      </c>
      <c r="E85" t="s">
        <v>305</v>
      </c>
      <c r="I85" t="s">
        <v>306</v>
      </c>
    </row>
    <row r="86" spans="1:9" ht="12.75">
      <c r="A86" t="s">
        <v>307</v>
      </c>
      <c r="B86" t="s">
        <v>308</v>
      </c>
      <c r="E86" t="s">
        <v>309</v>
      </c>
      <c r="I86" t="s">
        <v>308</v>
      </c>
    </row>
    <row r="88" spans="1:10" ht="12.75">
      <c r="A88" t="s">
        <v>1</v>
      </c>
      <c r="B88" t="s">
        <v>310</v>
      </c>
      <c r="E88" t="s">
        <v>311</v>
      </c>
      <c r="I88" t="s">
        <v>312</v>
      </c>
      <c r="J88" t="s">
        <v>313</v>
      </c>
    </row>
    <row r="89" spans="1:10" ht="12.75">
      <c r="A89" t="s">
        <v>314</v>
      </c>
      <c r="B89" s="156" t="s">
        <v>315</v>
      </c>
      <c r="E89" t="s">
        <v>315</v>
      </c>
      <c r="I89" s="156" t="s">
        <v>316</v>
      </c>
      <c r="J89" t="s">
        <v>317</v>
      </c>
    </row>
    <row r="90" spans="1:5" ht="12.75">
      <c r="A90" t="s">
        <v>314</v>
      </c>
      <c r="B90" t="s">
        <v>318</v>
      </c>
      <c r="E90" t="s">
        <v>318</v>
      </c>
    </row>
    <row r="92" ht="15.75">
      <c r="E92" s="2" t="s">
        <v>319</v>
      </c>
    </row>
    <row r="94" spans="1:12" ht="12.75">
      <c r="A94" t="s">
        <v>320</v>
      </c>
      <c r="B94" t="s">
        <v>321</v>
      </c>
      <c r="E94" t="s">
        <v>322</v>
      </c>
      <c r="I94" t="s">
        <v>323</v>
      </c>
      <c r="J94" t="s">
        <v>324</v>
      </c>
      <c r="L94" s="3"/>
    </row>
    <row r="95" spans="1:10" ht="12.75">
      <c r="A95" t="s">
        <v>320</v>
      </c>
      <c r="B95" t="s">
        <v>325</v>
      </c>
      <c r="E95" t="s">
        <v>326</v>
      </c>
      <c r="I95" t="s">
        <v>327</v>
      </c>
      <c r="J95" t="s">
        <v>328</v>
      </c>
    </row>
    <row r="96" spans="1:10" ht="12.75">
      <c r="A96" t="s">
        <v>320</v>
      </c>
      <c r="B96" t="s">
        <v>329</v>
      </c>
      <c r="E96" t="s">
        <v>330</v>
      </c>
      <c r="I96" t="s">
        <v>331</v>
      </c>
      <c r="J96" t="s">
        <v>332</v>
      </c>
    </row>
    <row r="97" spans="1:10" ht="12.75">
      <c r="A97" t="s">
        <v>320</v>
      </c>
      <c r="B97" t="s">
        <v>333</v>
      </c>
      <c r="E97" t="s">
        <v>334</v>
      </c>
      <c r="I97" t="s">
        <v>335</v>
      </c>
      <c r="J97" t="s">
        <v>336</v>
      </c>
    </row>
    <row r="99" spans="5:10" ht="12.75">
      <c r="E99" t="s">
        <v>337</v>
      </c>
      <c r="I99" t="s">
        <v>338</v>
      </c>
      <c r="J99" t="s">
        <v>339</v>
      </c>
    </row>
    <row r="100" spans="5:10" ht="12.75">
      <c r="E100" t="s">
        <v>340</v>
      </c>
      <c r="I100" t="s">
        <v>341</v>
      </c>
      <c r="J100" t="s">
        <v>342</v>
      </c>
    </row>
    <row r="101" spans="5:10" ht="12.75">
      <c r="E101" t="s">
        <v>343</v>
      </c>
      <c r="I101" t="s">
        <v>344</v>
      </c>
      <c r="J101" t="s">
        <v>345</v>
      </c>
    </row>
    <row r="102" spans="5:10" ht="12.75">
      <c r="E102" t="s">
        <v>346</v>
      </c>
      <c r="I102" t="s">
        <v>347</v>
      </c>
      <c r="J102" t="s">
        <v>348</v>
      </c>
    </row>
    <row r="103" spans="5:12" ht="12.75">
      <c r="E103" s="127" t="s">
        <v>349</v>
      </c>
      <c r="F103" s="127"/>
      <c r="G103" s="127"/>
      <c r="H103" s="127"/>
      <c r="I103" s="127" t="s">
        <v>144</v>
      </c>
      <c r="J103" s="127" t="s">
        <v>350</v>
      </c>
      <c r="K103" s="127"/>
      <c r="L103" s="127"/>
    </row>
    <row r="104" spans="5:10" ht="12.75">
      <c r="E104" t="s">
        <v>351</v>
      </c>
      <c r="I104" t="s">
        <v>352</v>
      </c>
      <c r="J104" t="s">
        <v>353</v>
      </c>
    </row>
    <row r="105" spans="5:10" ht="12.75">
      <c r="E105" t="s">
        <v>354</v>
      </c>
      <c r="I105" t="s">
        <v>355</v>
      </c>
      <c r="J105" t="s">
        <v>356</v>
      </c>
    </row>
    <row r="106" spans="5:10" ht="12.75">
      <c r="E106" t="s">
        <v>357</v>
      </c>
      <c r="I106" t="s">
        <v>358</v>
      </c>
      <c r="J106" t="s">
        <v>359</v>
      </c>
    </row>
    <row r="107" spans="5:10" ht="12.75">
      <c r="E107" t="s">
        <v>360</v>
      </c>
      <c r="I107" t="s">
        <v>361</v>
      </c>
      <c r="J107" t="s">
        <v>362</v>
      </c>
    </row>
    <row r="108" spans="5:10" ht="12.75">
      <c r="E108" t="s">
        <v>363</v>
      </c>
      <c r="I108" t="s">
        <v>364</v>
      </c>
      <c r="J108" t="s">
        <v>365</v>
      </c>
    </row>
    <row r="109" spans="5:10" ht="12.75">
      <c r="E109" t="s">
        <v>366</v>
      </c>
      <c r="I109" t="s">
        <v>367</v>
      </c>
      <c r="J109" t="s">
        <v>365</v>
      </c>
    </row>
    <row r="110" spans="5:10" ht="12.75">
      <c r="E110" t="s">
        <v>368</v>
      </c>
      <c r="I110" t="s">
        <v>369</v>
      </c>
      <c r="J110" t="s">
        <v>370</v>
      </c>
    </row>
    <row r="111" spans="5:12" ht="12.75">
      <c r="E111" t="s">
        <v>371</v>
      </c>
      <c r="I111" s="3"/>
      <c r="J111" s="3"/>
      <c r="K111" s="3"/>
      <c r="L111" s="3"/>
    </row>
    <row r="113" ht="12.75">
      <c r="E113" t="s">
        <v>372</v>
      </c>
    </row>
    <row r="114" ht="12.75">
      <c r="E114" t="s">
        <v>373</v>
      </c>
    </row>
    <row r="115" ht="12.75">
      <c r="E115" t="s">
        <v>374</v>
      </c>
    </row>
    <row r="116" ht="12.75">
      <c r="E116" t="s">
        <v>375</v>
      </c>
    </row>
    <row r="117" ht="12.75">
      <c r="E117" t="s">
        <v>376</v>
      </c>
    </row>
    <row r="118" ht="12.75">
      <c r="E118" t="s">
        <v>377</v>
      </c>
    </row>
  </sheetData>
  <mergeCells count="1">
    <mergeCell ref="A4:I4"/>
  </mergeCells>
  <conditionalFormatting sqref="D14">
    <cfRule type="cellIs" priority="1" dxfId="0" operator="equal" stopIfTrue="1">
      <formula>1</formula>
    </cfRule>
  </conditionalFormatting>
  <dataValidations count="1">
    <dataValidation type="custom" allowBlank="1" showInputMessage="1" showErrorMessage="1" sqref="E35:U35 E18 A36">
      <formula1>"&gt;1"</formula1>
    </dataValidation>
  </dataValidations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dcterms:created xsi:type="dcterms:W3CDTF">2005-07-06T16:06:04Z</dcterms:created>
  <dcterms:modified xsi:type="dcterms:W3CDTF">2005-09-02T18:14:45Z</dcterms:modified>
  <cp:category/>
  <cp:version/>
  <cp:contentType/>
  <cp:contentStatus/>
</cp:coreProperties>
</file>